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16" windowHeight="8160" tabRatio="856" activeTab="0"/>
  </bookViews>
  <sheets>
    <sheet name="Index of functions" sheetId="1" r:id="rId1"/>
    <sheet name="1.- Functions test" sheetId="2" r:id="rId2"/>
    <sheet name="2.- Turbine stage example" sheetId="3" r:id="rId3"/>
    <sheet name="3.- PRV example" sheetId="4" r:id="rId4"/>
    <sheet name="4.- Dh" sheetId="5" r:id="rId5"/>
    <sheet name="5.- DP friction" sheetId="6" r:id="rId6"/>
    <sheet name="6.- Permission" sheetId="7" r:id="rId7"/>
    <sheet name="Ref. 2" sheetId="8" r:id="rId8"/>
    <sheet name="Ref" sheetId="9" r:id="rId9"/>
    <sheet name="Air Data" sheetId="10" state="hidden" r:id="rId10"/>
    <sheet name="Water Data" sheetId="11" state="hidden" r:id="rId11"/>
    <sheet name="6.CS_Imp" sheetId="12" state="hidden" r:id="rId12"/>
    <sheet name="Table-3-1" sheetId="13" state="hidden" r:id="rId13"/>
    <sheet name="Table-3-9" sheetId="14" state="hidden" r:id="rId14"/>
    <sheet name="Table-3-10" sheetId="15" state="hidden" r:id="rId15"/>
    <sheet name="Table-3-11" sheetId="16" state="hidden" r:id="rId16"/>
    <sheet name="Table-3-16" sheetId="17" state="hidden" r:id="rId17"/>
    <sheet name="Table-3-30" sheetId="18" state="hidden" r:id="rId18"/>
    <sheet name="Table-3-34" sheetId="19" state="hidden" r:id="rId19"/>
    <sheet name="Table-4-2" sheetId="20" state="hidden" r:id="rId20"/>
    <sheet name="Fysikalkonstanter" sheetId="21" state="hidden" r:id="rId21"/>
    <sheet name="Lambda" sheetId="22" state="hidden" r:id="rId22"/>
    <sheet name="Saturconstants" sheetId="23" state="hidden" r:id="rId23"/>
  </sheets>
  <definedNames>
    <definedName name="FtMin">'Ref. 2'!$Q$32</definedName>
    <definedName name="FtSec">'Ref. 2'!$Q$34</definedName>
    <definedName name="g">'4.- Dh'!$E$26</definedName>
    <definedName name="PsiBar">'Ref. 2'!$T$35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<sst xmlns="http://schemas.openxmlformats.org/spreadsheetml/2006/main" count="1673" uniqueCount="778">
  <si>
    <t>i</t>
  </si>
  <si>
    <t>I1</t>
  </si>
  <si>
    <t>J1</t>
  </si>
  <si>
    <t>n1</t>
  </si>
  <si>
    <t>Table 3.1. Coefficients and exponents of Eq. (3.1)</t>
  </si>
  <si>
    <t>Table 3.9. Coefficients of Eqs. (3.6) and (3.7)</t>
  </si>
  <si>
    <t>1</t>
  </si>
  <si>
    <t>Table 3.10. Coefficients and exponents of Eq. (3.9)a</t>
  </si>
  <si>
    <t>3</t>
  </si>
  <si>
    <t>I2</t>
  </si>
  <si>
    <t>J2</t>
  </si>
  <si>
    <t>n2</t>
  </si>
  <si>
    <t>Table 3.11. Coefficients and exponents of Eq. (3.10)</t>
  </si>
  <si>
    <t>Table 3.16. Coefficients and exponents of Eq. (3.12)</t>
  </si>
  <si>
    <t>17</t>
  </si>
  <si>
    <t>2</t>
  </si>
  <si>
    <t>0</t>
  </si>
  <si>
    <t>I</t>
  </si>
  <si>
    <t>J</t>
  </si>
  <si>
    <t>n</t>
  </si>
  <si>
    <t>Table 3.30. Coefficients and exponents of Eq. (3.21)</t>
  </si>
  <si>
    <t>Table 3.34. Coefficients of Eqs. (3.22) to (3.24)</t>
  </si>
  <si>
    <t>ln(p)</t>
  </si>
  <si>
    <t>Satur Steam spec heat</t>
  </si>
  <si>
    <t>Satur Water spec heat</t>
  </si>
  <si>
    <t>Steam heat conductivity 0 - 250 °C</t>
  </si>
  <si>
    <t>Steam heat conductivity 250 - 360 °C</t>
  </si>
  <si>
    <t>Steam heat conductivity &gt;360, in the module</t>
  </si>
  <si>
    <t>Water heat conductivity 0 - 366 °C</t>
  </si>
  <si>
    <t>Water heat conductivity &gt;366, in the module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</si>
  <si>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</si>
  <si>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</si>
  <si>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</si>
  <si>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</si>
  <si>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</si>
  <si>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m</t>
  </si>
  <si>
    <t>ºC</t>
  </si>
  <si>
    <t>W/(m*K)</t>
  </si>
  <si>
    <t>kJ/(kg*K)</t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</si>
  <si>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</si>
  <si>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</si>
  <si>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</si>
  <si>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</si>
  <si>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 xml:space="preserve">Atmospheric air properties as a function </t>
  </si>
  <si>
    <t>of the temperature</t>
  </si>
  <si>
    <t>(Table A.4)</t>
  </si>
  <si>
    <t xml:space="preserve">[1] </t>
  </si>
  <si>
    <t>a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</si>
  <si>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</si>
  <si>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</si>
  <si>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</si>
  <si>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Saturation properties of water as a function of the temperature</t>
  </si>
  <si>
    <t xml:space="preserve">Saturated Water Properties as a Function </t>
  </si>
  <si>
    <t>of Temperature (Table A.6)</t>
  </si>
  <si>
    <t xml:space="preserve"> </t>
  </si>
  <si>
    <t>Pipe Thickness [mm], according ASME B36.10M</t>
  </si>
  <si>
    <t>ASME B36.10M SCHEDULE / IDENTIFICATION</t>
  </si>
  <si>
    <t>Application</t>
  </si>
  <si>
    <t>Dn =</t>
  </si>
  <si>
    <t>mm</t>
  </si>
  <si>
    <t>Size</t>
  </si>
  <si>
    <r>
      <t>d</t>
    </r>
    <r>
      <rPr>
        <b/>
        <vertAlign val="subscript"/>
        <sz val="8"/>
        <color indexed="9"/>
        <rFont val="Arial Narrow"/>
        <family val="2"/>
      </rPr>
      <t>ext</t>
    </r>
  </si>
  <si>
    <t>STD</t>
  </si>
  <si>
    <t>XS</t>
  </si>
  <si>
    <t>XXS</t>
  </si>
  <si>
    <t>(with input validation)</t>
  </si>
  <si>
    <t>SCH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</si>
  <si>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</si>
  <si>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t>Pipe_Imp_CS_Dint_dn_sch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</si>
  <si>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</t>
    </r>
  </si>
  <si>
    <t>Pipe_Imp_CS_Dext_dn</t>
  </si>
  <si>
    <t>s =</t>
  </si>
  <si>
    <t>Pipe_Imp_CS_Thickness_dn_sch</t>
  </si>
  <si>
    <t>(without input validation)</t>
  </si>
  <si>
    <t>The shedule entered is wrong</t>
  </si>
  <si>
    <t xml:space="preserve">                            'PipeImp_CS_Dext_dn</t>
  </si>
  <si>
    <t xml:space="preserve"> 'The function  PipeImp_CS_Dext_dn  gives the exterior diameter of a pipe with</t>
  </si>
  <si>
    <t xml:space="preserve"> 'nominal diameter   dn [in]</t>
  </si>
  <si>
    <t xml:space="preserve"> 'If the diameter is a fraction, the input cell has to be formated as a fraction</t>
  </si>
  <si>
    <t xml:space="preserve">     </t>
  </si>
  <si>
    <t xml:space="preserve">    Function PipeImp_CS_Dext_dn(Dn)</t>
  </si>
  <si>
    <t xml:space="preserve">    Dim msg As String</t>
  </si>
  <si>
    <t xml:space="preserve">    Dim C(36, 3) As Variant</t>
  </si>
  <si>
    <t xml:space="preserve">    Mensaje = "NO"</t>
  </si>
  <si>
    <t xml:space="preserve">    </t>
  </si>
  <si>
    <t>' Exterior diameters according ASME B36.10M, from Sheet 6.CS_Imp, 3th column</t>
  </si>
  <si>
    <t xml:space="preserve">    For m = 1 To 36</t>
  </si>
  <si>
    <t xml:space="preserve">          C(m, 3) = ThisWorkbook.Worksheets("6.CS_Imp").Cells(m, 3).Value</t>
  </si>
  <si>
    <t xml:space="preserve">    Next m</t>
  </si>
  <si>
    <t>' The corresponding line of the matrix C is asigned to its Dn-value</t>
  </si>
  <si>
    <t>If Dn = 0.5 Then</t>
  </si>
  <si>
    <t>x = 7</t>
  </si>
  <si>
    <t>ElseIf Dn = 0.75 Then x = 8</t>
  </si>
  <si>
    <t>ElseIf Dn = 1 Then x = 9</t>
  </si>
  <si>
    <t>ElseIf Dn = 1.5 Then x = 10</t>
  </si>
  <si>
    <t>ElseIf Dn = 2 Then x = 11</t>
  </si>
  <si>
    <t>ElseIf Dn = 3 Then x = 12</t>
  </si>
  <si>
    <t>ElseIf Dn = 4 Then x = 13</t>
  </si>
  <si>
    <t>ElseIf Dn = 5 Then x = 14</t>
  </si>
  <si>
    <t>ElseIf Dn = 6 Then x = 15</t>
  </si>
  <si>
    <t>ElseIf Dn = 8 Then x = 16</t>
  </si>
  <si>
    <t>ElseIf Dn = 10 Then x = 17</t>
  </si>
  <si>
    <t>ElseIf Dn = 12 Then x = 18</t>
  </si>
  <si>
    <t>ElseIf Dn = 14 Then x = 19</t>
  </si>
  <si>
    <t>ElseIf Dn = 16 Then x = 20</t>
  </si>
  <si>
    <t>ElseIf Dn = 18 Then x = 21</t>
  </si>
  <si>
    <t>ElseIf Dn = 20 Then x = 22</t>
  </si>
  <si>
    <t>ElseIf Dn = 22 Then x = 23</t>
  </si>
  <si>
    <t>ElseIf Dn = 24 Then x = 24</t>
  </si>
  <si>
    <t>ElseIf Dn = 26 Then x = 26</t>
  </si>
  <si>
    <t>ElseIf Dn = 28 Then x = 26</t>
  </si>
  <si>
    <t>ElseIf Dn = 30 Then x = 27</t>
  </si>
  <si>
    <t>ElseIf Dn = 32 Then x = 28</t>
  </si>
  <si>
    <t>ElseIf Dn = 34 Then x = 29</t>
  </si>
  <si>
    <t>ElseIf Dn = 36 Then x = 30</t>
  </si>
  <si>
    <t>ElseIf Dn = 38 Then x = 31</t>
  </si>
  <si>
    <t>ElseIf Dn = 40 Then x = 32</t>
  </si>
  <si>
    <t>ElseIf Dn = 42 Then x = 33</t>
  </si>
  <si>
    <t>ElseIf Dn = 44 Then x = 34</t>
  </si>
  <si>
    <t>ElseIf Dn = 46 Then x = 35</t>
  </si>
  <si>
    <t>ElseIf Dn = 48 Then x = 36</t>
  </si>
  <si>
    <t>' If the Dn-value is not within the given values,</t>
  </si>
  <si>
    <t>' The function returns Dext = "N/A"</t>
  </si>
  <si>
    <t>Else</t>
  </si>
  <si>
    <t xml:space="preserve">      PipeImp_CS_Dext_dn = "N/A"</t>
  </si>
  <si>
    <t xml:space="preserve">      Exit Function</t>
  </si>
  <si>
    <t>End If</t>
  </si>
  <si>
    <t>' In case the input value for Dn was identified and therefore an x-value  "x" has been defined,</t>
  </si>
  <si>
    <t>' the value of the matrix element (x,3) is assigned to de exterior diameter Dext</t>
  </si>
  <si>
    <t>PipeImp_CS_Dext_dn = C(x, 3)</t>
  </si>
  <si>
    <t>End Function</t>
  </si>
  <si>
    <t xml:space="preserve">                        'PipeImp_CS_Thickness_dn_sch</t>
  </si>
  <si>
    <t xml:space="preserve"> 'The function  PipeImp_CS_Thickness_dn_sch  gives the thickness of a pipe with</t>
  </si>
  <si>
    <t xml:space="preserve"> 'nominal diameter   dn [in] and schedule  sch</t>
  </si>
  <si>
    <t xml:space="preserve"> 'If the diameter is a fraction, the input cell ha to be formated as a fraction</t>
  </si>
  <si>
    <t xml:space="preserve">   Function PipeImp_CS_Thickness_dn_sch(Dn, SCH)</t>
  </si>
  <si>
    <t xml:space="preserve">  </t>
  </si>
  <si>
    <t xml:space="preserve">    Dim C(36, 17) As Variant</t>
  </si>
  <si>
    <t>' Thickness according ASME B36.10M, from Sheet 6.CS_Imp</t>
  </si>
  <si>
    <t xml:space="preserve">          For j = 1 To 17</t>
  </si>
  <si>
    <t xml:space="preserve">                C(m, j) = ThisWorkbook.Worksheets("6.CS_Imp").Cells(m, j).Value</t>
  </si>
  <si>
    <t xml:space="preserve">          Next j</t>
  </si>
  <si>
    <t xml:space="preserve">  If PipeImp_CS_Dext_dn(Dn) = "N/A" Then</t>
  </si>
  <si>
    <t xml:space="preserve">        PipeImp_CS_Thickness_dn_sch = "N/A"</t>
  </si>
  <si>
    <t xml:space="preserve">        Exit Function</t>
  </si>
  <si>
    <t xml:space="preserve">  End If</t>
  </si>
  <si>
    <t xml:space="preserve">    PipeImp_CS_Thickness_dn_sch(Dn, SCH) = "N/A"</t>
  </si>
  <si>
    <t xml:space="preserve">    Exit Function</t>
  </si>
  <si>
    <t xml:space="preserve">   </t>
  </si>
  <si>
    <t>If SCH = 5 Then</t>
  </si>
  <si>
    <t>Y = 4</t>
  </si>
  <si>
    <t>ElseIf SCH = 10 Then Y = 5</t>
  </si>
  <si>
    <t>ElseIf SCH = 20 Then Y = 6</t>
  </si>
  <si>
    <t>ElseIf SCH = 30 Then Y = 7</t>
  </si>
  <si>
    <t>ElseIf SCH = 40 Then Y = 8</t>
  </si>
  <si>
    <t>ElseIf SCH = 60 Then Y = 9</t>
  </si>
  <si>
    <t>ElseIf SCH = 80 Then Y = 10</t>
  </si>
  <si>
    <t>ElseIf SCH = 100 Then Y = 11</t>
  </si>
  <si>
    <t>ElseIf SCH = 120 Then Y = 12</t>
  </si>
  <si>
    <t>ElseIf SCH = 140 Then Y = 13</t>
  </si>
  <si>
    <t>ElseIf SCH = 160 Then Y = 14</t>
  </si>
  <si>
    <t>ElseIf SCH = "STD" Then Y = 15</t>
  </si>
  <si>
    <t>ElseIf SCH = "XS" Then Y = 16</t>
  </si>
  <si>
    <t>ElseIf SCH = "XXS" Then Y = 17</t>
  </si>
  <si>
    <t xml:space="preserve">   PipeImp_CS_Thickness_dn_sch = "N/A"</t>
  </si>
  <si>
    <t xml:space="preserve">   Exit Function</t>
  </si>
  <si>
    <t>PipeImp_CS_Thickness_dn_sch = C(x, Y)</t>
  </si>
  <si>
    <t xml:space="preserve">    If PipeImp_CS_Thickness_dn_sch = " - " Then</t>
  </si>
  <si>
    <t xml:space="preserve">    End If</t>
  </si>
  <si>
    <t xml:space="preserve">                        'PipeImp_CS_Dint_dn_sch</t>
  </si>
  <si>
    <t xml:space="preserve">                        </t>
  </si>
  <si>
    <t xml:space="preserve"> 'The function  PipeImp_CS_Dint_dn_sch  gives the interior diameter of a pipe with</t>
  </si>
  <si>
    <t>Function PipeImp_CS_Dint_dn_sch(Dn, SCH)</t>
  </si>
  <si>
    <t xml:space="preserve">    If PipeImp_CS_Thickness_dn_sch(Dn, SCH) = "N/A" Then</t>
  </si>
  <si>
    <t xml:space="preserve">        PipeImp_CS_Dint_dn_sch = "N/A"</t>
  </si>
  <si>
    <t xml:space="preserve">    If PipeImp_CS_Dext_dn(Dn) = "N/A" Then</t>
  </si>
  <si>
    <t xml:space="preserve">    PipeImp_CS_Dint_dn_sch = PipeImp_CS_Dext_dn(Dn) - PipeImp_CS_Thickness_dn_sch(Dn, SCH) * 2</t>
  </si>
  <si>
    <t xml:space="preserve"> With permission (See sheet 5  )</t>
  </si>
  <si>
    <t>Saturation properties</t>
  </si>
  <si>
    <t>Humid region</t>
  </si>
  <si>
    <t>Superheated steam</t>
  </si>
  <si>
    <t>p =</t>
  </si>
  <si>
    <t>SaturSteam_Entropy_p(p)</t>
  </si>
  <si>
    <t>kJ(kg K)</t>
  </si>
  <si>
    <t>x =</t>
  </si>
  <si>
    <t>t =</t>
  </si>
  <si>
    <r>
      <t>s</t>
    </r>
    <r>
      <rPr>
        <vertAlign val="subscript"/>
        <sz val="10"/>
        <rFont val="Arial"/>
        <family val="2"/>
      </rPr>
      <t>f</t>
    </r>
    <r>
      <rPr>
        <sz val="11"/>
        <color theme="1"/>
        <rFont val="Calibri"/>
        <family val="2"/>
      </rPr>
      <t xml:space="preserve"> (p) =</t>
    </r>
  </si>
  <si>
    <t>t (p) =</t>
  </si>
  <si>
    <t>H2O_SaturationTemp_p(I2)</t>
  </si>
  <si>
    <t>s (t,p) =</t>
  </si>
  <si>
    <t>H2O_Entropy_t_p(t,p)</t>
  </si>
  <si>
    <t>kJ/(kg K)</t>
  </si>
  <si>
    <t>H2O_SaturationTemp_p(p)</t>
  </si>
  <si>
    <t>h (p,x) =</t>
  </si>
  <si>
    <t>H2O_Enthalpy_p_x(I2,I3)</t>
  </si>
  <si>
    <t>kJ/kg</t>
  </si>
  <si>
    <t>h (t,p) =</t>
  </si>
  <si>
    <t>H2O_Enthalpy_t_p(t,p)</t>
  </si>
  <si>
    <t>h (t) =</t>
  </si>
  <si>
    <t>SaturWater_Enthalpy_t(t)</t>
  </si>
  <si>
    <t>s (p,h) =</t>
  </si>
  <si>
    <t>H2O_Entropy_p_h(I2,I5)</t>
  </si>
  <si>
    <t>v (t,p) =</t>
  </si>
  <si>
    <t>H2O_SpecVolume_p_h(t,p)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</si>
  <si>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</rPr>
      <t>/kg</t>
    </r>
  </si>
  <si>
    <t>Saturated water</t>
  </si>
  <si>
    <r>
      <t>m</t>
    </r>
    <r>
      <rPr>
        <sz val="11"/>
        <color theme="1"/>
        <rFont val="Calibri"/>
        <family val="2"/>
      </rPr>
      <t xml:space="preserve"> (t,p) =</t>
    </r>
  </si>
  <si>
    <t>H2O_DynViscosity_t_p(t,p)</t>
  </si>
  <si>
    <t>p (s) =</t>
  </si>
  <si>
    <t>H2O_SaturationPressure_s(s)</t>
  </si>
  <si>
    <t>h (t,x) =</t>
  </si>
  <si>
    <t>H2O_Enthalpy_t_x(I4,I3)</t>
  </si>
  <si>
    <t>h (p,s) =</t>
  </si>
  <si>
    <t>H2O_Enthalpy_p_s(p,s)</t>
  </si>
  <si>
    <t>p (t) =</t>
  </si>
  <si>
    <t>H2O_SaturationPressure_t(t)</t>
  </si>
  <si>
    <t>v (p,x) =</t>
  </si>
  <si>
    <t>H2O_SpecVolume_p_x(p,x)</t>
  </si>
  <si>
    <t>v (t,x) =</t>
  </si>
  <si>
    <t>H2O_SpecVolume_t_x(t,x)</t>
  </si>
  <si>
    <t>h (t,s) =</t>
  </si>
  <si>
    <t>H2O_Enthalpy_t_s(t,s)</t>
  </si>
  <si>
    <t>t (s) =</t>
  </si>
  <si>
    <t>H2O_SaturationTemp_s(s)</t>
  </si>
  <si>
    <r>
      <t>h</t>
    </r>
    <r>
      <rPr>
        <vertAlign val="subscript"/>
        <sz val="10"/>
        <rFont val="Arial"/>
        <family val="2"/>
      </rPr>
      <t>fg</t>
    </r>
    <r>
      <rPr>
        <sz val="11"/>
        <color theme="1"/>
        <rFont val="Calibri"/>
        <family val="2"/>
      </rPr>
      <t xml:space="preserve"> (p) =</t>
    </r>
  </si>
  <si>
    <t>H2O_VapourisationHeat_p(p)</t>
  </si>
  <si>
    <t>H2O_Entropy_p_h(p,h)</t>
  </si>
  <si>
    <r>
      <t>m</t>
    </r>
    <r>
      <rPr>
        <sz val="11"/>
        <color theme="1"/>
        <rFont val="Calibri"/>
        <family val="2"/>
      </rPr>
      <t xml:space="preserve"> (t) =</t>
    </r>
  </si>
  <si>
    <t>SaturWater_DynViscosity_t(t)</t>
  </si>
  <si>
    <r>
      <t>h</t>
    </r>
    <r>
      <rPr>
        <vertAlign val="subscript"/>
        <sz val="10"/>
        <rFont val="Arial"/>
        <family val="2"/>
      </rPr>
      <t>fg</t>
    </r>
    <r>
      <rPr>
        <sz val="11"/>
        <color theme="1"/>
        <rFont val="Calibri"/>
        <family val="2"/>
      </rPr>
      <t xml:space="preserve"> (t) =</t>
    </r>
  </si>
  <si>
    <t>H2O_VapourisationHeat_t(t)</t>
  </si>
  <si>
    <t>h (p) =</t>
  </si>
  <si>
    <t>SaturWater_Enthalpy_p(p)</t>
  </si>
  <si>
    <t>x (p,h) =</t>
  </si>
  <si>
    <t>SteamQuality_p_h(p,h)</t>
  </si>
  <si>
    <t>k (t,p) =</t>
  </si>
  <si>
    <t>H2O_HeatConductivity_t_p(t,p)</t>
  </si>
  <si>
    <t>W/(m K)</t>
  </si>
  <si>
    <t>x (p,s) =</t>
  </si>
  <si>
    <t>SteamQuality_p_s(p,s)</t>
  </si>
  <si>
    <r>
      <t>K</t>
    </r>
    <r>
      <rPr>
        <sz val="11"/>
        <color theme="1"/>
        <rFont val="Calibri"/>
        <family val="2"/>
      </rPr>
      <t xml:space="preserve"> (p,h) =</t>
    </r>
  </si>
  <si>
    <t>H2O_Kappa_p_h(p,h)</t>
  </si>
  <si>
    <t>s (p) =</t>
  </si>
  <si>
    <t>Note 1</t>
  </si>
  <si>
    <r>
      <t>K</t>
    </r>
    <r>
      <rPr>
        <sz val="10"/>
        <rFont val="Arial"/>
        <family val="2"/>
      </rPr>
      <t>Down</t>
    </r>
    <r>
      <rPr>
        <sz val="11"/>
        <color theme="1"/>
        <rFont val="Calibri"/>
        <family val="2"/>
      </rPr>
      <t xml:space="preserve"> (p,h) =</t>
    </r>
  </si>
  <si>
    <t>H2O_KappaUp_p_h(p,h)</t>
  </si>
  <si>
    <t>s (t) =</t>
  </si>
  <si>
    <t>SaturWater_Entropy_t(t)</t>
  </si>
  <si>
    <t>x (t,s) =</t>
  </si>
  <si>
    <t>SteamQuality_t_s(t,s)</t>
  </si>
  <si>
    <r>
      <t>K</t>
    </r>
    <r>
      <rPr>
        <sz val="10"/>
        <rFont val="Arial"/>
        <family val="2"/>
      </rPr>
      <t>Up</t>
    </r>
    <r>
      <rPr>
        <sz val="11"/>
        <color theme="1"/>
        <rFont val="Calibri"/>
        <family val="2"/>
      </rPr>
      <t xml:space="preserve"> (p,h) =</t>
    </r>
  </si>
  <si>
    <t>H2O_KappaDown_p_h(p,h)</t>
  </si>
  <si>
    <t>k (t) =</t>
  </si>
  <si>
    <t>SaturWater_HeatConduct_t(t)</t>
  </si>
  <si>
    <t>Pr (t,p) =</t>
  </si>
  <si>
    <t>H2O_Prandtl_t_p(t,t)</t>
  </si>
  <si>
    <t>Pr (t) =</t>
  </si>
  <si>
    <t>SaturWater_Prandtl_t(t)</t>
  </si>
  <si>
    <t>p (t,s) =</t>
  </si>
  <si>
    <t>H2O_Pressure_t_s(t,s)</t>
  </si>
  <si>
    <t>c (t) =</t>
  </si>
  <si>
    <t>SaturWater_SonicVelocity_t(t)</t>
  </si>
  <si>
    <t>m/s</t>
  </si>
  <si>
    <t>p (t,v) =</t>
  </si>
  <si>
    <t>H2O_Pressure_t_v(t,v)</t>
  </si>
  <si>
    <t>cp (t) =</t>
  </si>
  <si>
    <t>SaturWater_SpecHeat_Cp_t(t)</t>
  </si>
  <si>
    <t>c (p,h) =</t>
  </si>
  <si>
    <t>H2O_SonicVelocity_p_h(p,h)</t>
  </si>
  <si>
    <t>v (t) =</t>
  </si>
  <si>
    <t>SaturWater_SpecVolume_t(t)</t>
  </si>
  <si>
    <t>c (t,p) =</t>
  </si>
  <si>
    <t>H2O_SonicVelocity_t_p(t,p)</t>
  </si>
  <si>
    <t>t (h) =</t>
  </si>
  <si>
    <t>SaturWater_Temperature_h(h)</t>
  </si>
  <si>
    <t>Cp (t,p) =</t>
  </si>
  <si>
    <t>H2O_SpecificHeat_Cp_t_p(t,p)</t>
  </si>
  <si>
    <r>
      <t>s</t>
    </r>
    <r>
      <rPr>
        <sz val="11"/>
        <color theme="1"/>
        <rFont val="Calibri"/>
        <family val="2"/>
      </rPr>
      <t xml:space="preserve"> (t) =</t>
    </r>
  </si>
  <si>
    <t>Water_SurfaceTension_t(t)</t>
  </si>
  <si>
    <t>N/m</t>
  </si>
  <si>
    <t>Cv (t,p) =</t>
  </si>
  <si>
    <t>H2O_SpecificHeat_Cv_t_p(t,p)</t>
  </si>
  <si>
    <t>v (p,h) =</t>
  </si>
  <si>
    <t>H2O_SpecVolume_p_h(p,h)</t>
  </si>
  <si>
    <t>Saturated steam</t>
  </si>
  <si>
    <t>SaturSteam_DynViscosity_t(t)</t>
  </si>
  <si>
    <t>t (p,h) =</t>
  </si>
  <si>
    <t>H2O_Temperature_p_h(p,h)</t>
  </si>
  <si>
    <t>SaturSteam_Enthalpy_p(p)</t>
  </si>
  <si>
    <t>t (p,s) =</t>
  </si>
  <si>
    <t>H2O_Temperature_p_s(p,s)</t>
  </si>
  <si>
    <t>SaturSteam_Enthalpy_t(t)</t>
  </si>
  <si>
    <t>t (p,v) =</t>
  </si>
  <si>
    <t>H2O_Temperature_p_v(p,v)</t>
  </si>
  <si>
    <t>SaturSteam_Entropy_t(t)</t>
  </si>
  <si>
    <t>SaturSteam_HeatConduct_t(t)</t>
  </si>
  <si>
    <t>The same functions are aplicable for compressed liquid</t>
  </si>
  <si>
    <t>For the given pressure of                                                  p =</t>
  </si>
  <si>
    <t>SaturSteam_SonicVelocity_t(t)</t>
  </si>
  <si>
    <t>SaturSteam_SpecHeat_Cp_t(t)</t>
  </si>
  <si>
    <t>SaturSteam_SpecVolume_t(t)</t>
  </si>
  <si>
    <t>Excel funtions "STEAMDAT_97" for Steam and Water Data</t>
  </si>
  <si>
    <t>1.- Aplication case to superheated steam</t>
  </si>
  <si>
    <t>(same functions are used for superheated steam and compressed water)</t>
  </si>
  <si>
    <t>Aplication point is shown in water T-s diagram</t>
  </si>
  <si>
    <t>Temperature</t>
  </si>
  <si>
    <r>
      <t>p</t>
    </r>
    <r>
      <rPr>
        <vertAlign val="subscript"/>
        <sz val="10"/>
        <rFont val="Arial"/>
        <family val="2"/>
      </rPr>
      <t>sat,@t</t>
    </r>
    <r>
      <rPr>
        <sz val="10"/>
        <rFont val="Arial"/>
        <family val="2"/>
      </rPr>
      <t xml:space="preserve"> = </t>
    </r>
  </si>
  <si>
    <t>Non existing at this temperature</t>
  </si>
  <si>
    <t>Pressure</t>
  </si>
  <si>
    <r>
      <t>t</t>
    </r>
    <r>
      <rPr>
        <vertAlign val="subscript"/>
        <sz val="10"/>
        <rFont val="Arial"/>
        <family val="2"/>
      </rPr>
      <t>sat,@p</t>
    </r>
    <r>
      <rPr>
        <sz val="10"/>
        <rFont val="Arial"/>
        <family val="2"/>
      </rPr>
      <t xml:space="preserve"> = </t>
    </r>
  </si>
  <si>
    <t>H2O_SaturationTemp_p(G6)</t>
  </si>
  <si>
    <r>
      <t>p</t>
    </r>
    <r>
      <rPr>
        <vertAlign val="subscript"/>
        <sz val="12"/>
        <rFont val="Arial"/>
        <family val="2"/>
      </rPr>
      <t>crt</t>
    </r>
    <r>
      <rPr>
        <sz val="12"/>
        <rFont val="Arial"/>
        <family val="2"/>
      </rPr>
      <t xml:space="preserve"> =</t>
    </r>
  </si>
  <si>
    <t xml:space="preserve">p = </t>
  </si>
  <si>
    <t>Input data pair:</t>
  </si>
  <si>
    <t>f(t,p)</t>
  </si>
  <si>
    <t>f(t,s)</t>
  </si>
  <si>
    <t>f(t,v)</t>
  </si>
  <si>
    <t>f(p,s)</t>
  </si>
  <si>
    <t>f(p,h)</t>
  </si>
  <si>
    <t>f(p,v)</t>
  </si>
  <si>
    <t>t = 350 ºC</t>
  </si>
  <si>
    <t>Dynamic viscosity</t>
  </si>
  <si>
    <r>
      <t>m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</si>
  <si>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2"/>
        <rFont val="Arial"/>
        <family val="2"/>
      </rPr>
      <t>crt</t>
    </r>
    <r>
      <rPr>
        <sz val="12"/>
        <rFont val="Arial"/>
        <family val="2"/>
      </rPr>
      <t xml:space="preserve"> =</t>
    </r>
  </si>
  <si>
    <t>Enthalpy</t>
  </si>
  <si>
    <t>h =</t>
  </si>
  <si>
    <t>Entropy</t>
  </si>
  <si>
    <t>kJ/kg.K</t>
  </si>
  <si>
    <t>s=</t>
  </si>
  <si>
    <t>Heat conductivity</t>
  </si>
  <si>
    <t>W/m.K</t>
  </si>
  <si>
    <t>k =</t>
  </si>
  <si>
    <t>Kappa</t>
  </si>
  <si>
    <t>-</t>
  </si>
  <si>
    <r>
      <t>K</t>
    </r>
    <r>
      <rPr>
        <sz val="10"/>
        <rFont val="Arial"/>
        <family val="2"/>
      </rPr>
      <t xml:space="preserve"> =</t>
    </r>
  </si>
  <si>
    <t>H2O_Kappa_t_p(t,p)</t>
  </si>
  <si>
    <t>Kappa-Down</t>
  </si>
  <si>
    <r>
      <t>K</t>
    </r>
    <r>
      <rPr>
        <vertAlign val="subscript"/>
        <sz val="10"/>
        <rFont val="Arial"/>
        <family val="2"/>
      </rPr>
      <t>down</t>
    </r>
    <r>
      <rPr>
        <sz val="10"/>
        <rFont val="Arial"/>
        <family val="2"/>
      </rPr>
      <t xml:space="preserve"> =</t>
    </r>
  </si>
  <si>
    <t>Kappa-Up</t>
  </si>
  <si>
    <r>
      <t>K</t>
    </r>
    <r>
      <rPr>
        <vertAlign val="subscript"/>
        <sz val="10"/>
        <rFont val="Arial"/>
        <family val="2"/>
      </rPr>
      <t>up</t>
    </r>
    <r>
      <rPr>
        <sz val="10"/>
        <rFont val="Arial"/>
        <family val="2"/>
      </rPr>
      <t xml:space="preserve"> =</t>
    </r>
  </si>
  <si>
    <t>Prandtl</t>
  </si>
  <si>
    <t>Pr =</t>
  </si>
  <si>
    <t>H2O_Prandtl_t_p(t,p)</t>
  </si>
  <si>
    <t>bar(a)</t>
  </si>
  <si>
    <t>Sonic velocity</t>
  </si>
  <si>
    <t>c =</t>
  </si>
  <si>
    <t>s</t>
  </si>
  <si>
    <t>Specific heat, Cp</t>
  </si>
  <si>
    <t>Cp =</t>
  </si>
  <si>
    <t>Water t-s diagram</t>
  </si>
  <si>
    <t>Specific volume</t>
  </si>
  <si>
    <t>m3/kg</t>
  </si>
  <si>
    <t>v =</t>
  </si>
  <si>
    <t>H2O_SpecVolume_t_p(t,p)</t>
  </si>
  <si>
    <t>Surface tension</t>
  </si>
  <si>
    <t>Surface tension is defined only in compressed liquid area</t>
  </si>
  <si>
    <t>°C</t>
  </si>
  <si>
    <t>2.- Aplication case to compressed water</t>
  </si>
  <si>
    <t>t-s</t>
  </si>
  <si>
    <t>t-v</t>
  </si>
  <si>
    <t>p-s</t>
  </si>
  <si>
    <t>p-h</t>
  </si>
  <si>
    <t>p-v</t>
  </si>
  <si>
    <t>Water_SurfaceTension_t(G30)</t>
  </si>
  <si>
    <t>3.- Application case to Wett steam</t>
  </si>
  <si>
    <t>Input data for the example</t>
  </si>
  <si>
    <t>Saturation Pressure  Psat =</t>
  </si>
  <si>
    <t>H2O_SaturationPressure_t(D56)</t>
  </si>
  <si>
    <t>Psat =</t>
  </si>
  <si>
    <t>Steam quality</t>
  </si>
  <si>
    <t xml:space="preserve"> -</t>
  </si>
  <si>
    <t>t-x</t>
  </si>
  <si>
    <t>p-x</t>
  </si>
  <si>
    <t>H2O_Enthalpy_t_x(t,x)</t>
  </si>
  <si>
    <t>Check example</t>
  </si>
  <si>
    <t>Critical point</t>
  </si>
  <si>
    <t>Critical temperature:</t>
  </si>
  <si>
    <t>Critical pressure:</t>
  </si>
  <si>
    <r>
      <t>h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+ x * (hg - hf)</t>
    </r>
  </si>
  <si>
    <r>
      <t>s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+ x * (sg - sf)</t>
    </r>
  </si>
  <si>
    <r>
      <t>v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+ v * (vg - vf)</t>
    </r>
  </si>
  <si>
    <r>
      <t>h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</si>
  <si>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</si>
  <si>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=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</si>
  <si>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/kg</t>
    </r>
  </si>
  <si>
    <r>
      <t>h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</si>
  <si>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</si>
  <si>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=</t>
    </r>
  </si>
  <si>
    <t>Turbine stage</t>
  </si>
  <si>
    <t>t ºC</t>
  </si>
  <si>
    <t>Input data:</t>
  </si>
  <si>
    <r>
      <t>p</t>
    </r>
    <r>
      <rPr>
        <b/>
        <vertAlign val="subscript"/>
        <sz val="10"/>
        <color indexed="12"/>
        <rFont val="Arial"/>
        <family val="2"/>
      </rPr>
      <t>1</t>
    </r>
    <r>
      <rPr>
        <b/>
        <sz val="10"/>
        <color indexed="12"/>
        <rFont val="Arial"/>
        <family val="2"/>
      </rPr>
      <t xml:space="preserve"> = </t>
    </r>
  </si>
  <si>
    <t>Steam pressure before stage</t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</si>
  <si>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</si>
  <si>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Steam temperature before stage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</si>
  <si>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</si>
  <si>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Pressure after stage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</si>
  <si>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</si>
  <si>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Stage isentropic efficiency</t>
  </si>
  <si>
    <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</si>
  <si>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crt</t>
    </r>
    <r>
      <rPr>
        <sz val="10"/>
        <rFont val="Arial"/>
        <family val="2"/>
      </rPr>
      <t xml:space="preserve"> =</t>
    </r>
  </si>
  <si>
    <t>Calculated data:</t>
  </si>
  <si>
    <t>Inlet enthalpy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</si>
  <si>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</si>
  <si>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H2O_Enthalpy_t_p(t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</si>
  <si>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Inlet entropy</t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</si>
  <si>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</si>
  <si>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H2O_Entropy_t_p(t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</si>
  <si>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crt</t>
    </r>
    <r>
      <rPr>
        <sz val="10"/>
        <rFont val="Arial"/>
        <family val="2"/>
      </rPr>
      <t xml:space="preserve"> =</t>
    </r>
  </si>
  <si>
    <t>Outlet isentropic entropy</t>
  </si>
  <si>
    <r>
      <t>s</t>
    </r>
    <r>
      <rPr>
        <vertAlign val="subscript"/>
        <sz val="10"/>
        <rFont val="Arial"/>
        <family val="2"/>
      </rPr>
      <t>2s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</si>
  <si>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</si>
  <si>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Outlet isentropic enthalpy</t>
  </si>
  <si>
    <r>
      <t>h</t>
    </r>
    <r>
      <rPr>
        <vertAlign val="subscript"/>
        <sz val="10"/>
        <rFont val="Arial"/>
        <family val="2"/>
      </rPr>
      <t>2s</t>
    </r>
    <r>
      <rPr>
        <sz val="10"/>
        <rFont val="Arial"/>
        <family val="2"/>
      </rPr>
      <t xml:space="preserve"> =</t>
    </r>
  </si>
  <si>
    <t>Isentropic power generation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</si>
  <si>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</si>
  <si>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 xml:space="preserve">2s </t>
    </r>
    <r>
      <rPr>
        <sz val="10"/>
        <rFont val="Arial"/>
        <family val="2"/>
      </rPr>
      <t xml:space="preserve">   </t>
    </r>
  </si>
  <si>
    <t>Real power generation</t>
  </si>
  <si>
    <r>
      <t>D</t>
    </r>
    <r>
      <rPr>
        <sz val="10"/>
        <rFont val="Arial"/>
        <family val="2"/>
      </rPr>
      <t>h =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</si>
  <si>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</t>
    </r>
  </si>
  <si>
    <t>Specific energy (Ditto)</t>
  </si>
  <si>
    <r>
      <t>E</t>
    </r>
    <r>
      <rPr>
        <vertAlign val="subscript"/>
        <sz val="10"/>
        <rFont val="Arial"/>
        <family val="2"/>
      </rPr>
      <t>spec</t>
    </r>
    <r>
      <rPr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</si>
  <si>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 xml:space="preserve">h [kJ/kg) * 1000 [kg/h] /3600  </t>
    </r>
  </si>
  <si>
    <t>kWh/ton</t>
  </si>
  <si>
    <t>Outlet steam enthalpy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</si>
  <si>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</si>
  <si>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h </t>
    </r>
  </si>
  <si>
    <t>Outlet steam temperature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</si>
  <si>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</si>
  <si>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H2O_Temperature_p_h(p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</si>
  <si>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Outlet saturation temperature</t>
  </si>
  <si>
    <r>
      <t>t</t>
    </r>
    <r>
      <rPr>
        <vertAlign val="subscript"/>
        <sz val="10"/>
        <rFont val="Arial"/>
        <family val="2"/>
      </rPr>
      <t>2sat</t>
    </r>
    <r>
      <rPr>
        <sz val="10"/>
        <rFont val="Arial"/>
        <family val="2"/>
      </rPr>
      <t xml:space="preserve"> =</t>
    </r>
  </si>
  <si>
    <r>
      <t>H2O_SaturationTemp_p(p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</si>
  <si>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Outlet steam superheating</t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</si>
  <si>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out,superheat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</si>
  <si>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2sat</t>
    </r>
    <r>
      <rPr>
        <sz val="10"/>
        <rFont val="Arial"/>
        <family val="2"/>
      </rPr>
      <t xml:space="preserve"> =</t>
    </r>
  </si>
  <si>
    <t>s kJ/(kg K)</t>
  </si>
  <si>
    <t>Outlet steam entropy</t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</si>
  <si>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</si>
  <si>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H2O_Entropy_p_h(p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</si>
  <si>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Desuperheating</t>
  </si>
  <si>
    <t>Calculation of a pressure reducing valve, PRV, with desuperheating</t>
  </si>
  <si>
    <t>Pump</t>
  </si>
  <si>
    <t xml:space="preserve">Feed water tank </t>
  </si>
  <si>
    <t>with  saturated water</t>
  </si>
  <si>
    <r>
      <t>at 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ºC</t>
    </r>
  </si>
  <si>
    <t>Steam pressure before PRV</t>
  </si>
  <si>
    <t>Steam temperature before PRV</t>
  </si>
  <si>
    <t>Steam pressure after PRV</t>
  </si>
  <si>
    <t>Steam temperature after PRV and desuperheating (2)</t>
  </si>
  <si>
    <t>Desuperheater water pressure</t>
  </si>
  <si>
    <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</si>
  <si>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t>Desuperheater water temperature, in feed tank</t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</si>
  <si>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</si>
  <si>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Saturated vapor line</t>
  </si>
  <si>
    <t>Desuperheater water pump efficiency</t>
  </si>
  <si>
    <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</si>
  <si>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Pump motor efficiency</t>
  </si>
  <si>
    <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</si>
  <si>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t>High pressure steam flow</t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</si>
  <si>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</si>
  <si>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ton/h</t>
  </si>
  <si>
    <t xml:space="preserve">Note 2. Cooled, but still a superheated steam  </t>
  </si>
  <si>
    <t>Inlet steam entalpy</t>
  </si>
  <si>
    <t xml:space="preserve">H2O_Enthalpy_t_p(t1,p1) </t>
  </si>
  <si>
    <t xml:space="preserve"> H2O_Enthalpy_t_p(t2,p2) </t>
  </si>
  <si>
    <r>
      <t>H2O_Entropy_t_p(t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;p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</si>
  <si>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Entropy at steam outlet conditions 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</si>
  <si>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H2O_Entropy_t_p(t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;p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</si>
  <si>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</t>
  </si>
  <si>
    <t>Process 1 - 1a: Isentalpic pressure</t>
  </si>
  <si>
    <r>
      <t>Entropy at pressure "p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", in saturated condition</t>
    </r>
  </si>
  <si>
    <r>
      <t>s</t>
    </r>
    <r>
      <rPr>
        <vertAlign val="subscript"/>
        <sz val="10"/>
        <rFont val="Arial"/>
        <family val="2"/>
      </rPr>
      <t>1,sat</t>
    </r>
    <r>
      <rPr>
        <sz val="10"/>
        <rFont val="Arial"/>
        <family val="2"/>
      </rPr>
      <t xml:space="preserve"> =</t>
    </r>
  </si>
  <si>
    <r>
      <t>SaturSteam_Entropy_p(p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</si>
  <si>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reduction</t>
  </si>
  <si>
    <r>
      <t>Temperature at pressure "p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", in saturated condition</t>
    </r>
  </si>
  <si>
    <r>
      <t>t</t>
    </r>
    <r>
      <rPr>
        <vertAlign val="subscript"/>
        <sz val="10"/>
        <rFont val="Arial"/>
        <family val="2"/>
      </rPr>
      <t>1,sat</t>
    </r>
    <r>
      <rPr>
        <sz val="10"/>
        <rFont val="Arial"/>
        <family val="2"/>
      </rPr>
      <t xml:space="preserve"> =</t>
    </r>
  </si>
  <si>
    <r>
      <t>H2O_SaturationTemp_p(p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</si>
  <si>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Process 1a - 2: Cooling of steam </t>
  </si>
  <si>
    <r>
      <t>Saturated steam entropy at "p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</si>
  <si>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t>s</t>
    </r>
    <r>
      <rPr>
        <vertAlign val="subscript"/>
        <sz val="10"/>
        <rFont val="Arial"/>
        <family val="2"/>
      </rPr>
      <t>2,sat</t>
    </r>
    <r>
      <rPr>
        <sz val="10"/>
        <rFont val="Arial"/>
        <family val="2"/>
      </rPr>
      <t xml:space="preserve"> =</t>
    </r>
  </si>
  <si>
    <r>
      <t>SaturSteam_Entropy_p(p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</si>
  <si>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with water</t>
  </si>
  <si>
    <r>
      <t>Saturated steam temperature at "p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</si>
  <si>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t>t</t>
    </r>
    <r>
      <rPr>
        <vertAlign val="subscript"/>
        <sz val="10"/>
        <rFont val="Arial"/>
        <family val="2"/>
      </rPr>
      <t>2,sat</t>
    </r>
    <r>
      <rPr>
        <sz val="10"/>
        <rFont val="Arial"/>
        <family val="2"/>
      </rPr>
      <t xml:space="preserve"> =</t>
    </r>
  </si>
  <si>
    <t>H2O_SaturationTemp_p(p2)</t>
  </si>
  <si>
    <t>Process 3 - 4: Water compresion</t>
  </si>
  <si>
    <r>
      <t>Temperature after isentalpic expansion (h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  to "p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"</t>
    </r>
  </si>
  <si>
    <r>
      <t>t</t>
    </r>
    <r>
      <rPr>
        <vertAlign val="subscript"/>
        <sz val="10"/>
        <rFont val="Arial"/>
        <family val="2"/>
      </rPr>
      <t xml:space="preserve">1a </t>
    </r>
    <r>
      <rPr>
        <sz val="10"/>
        <rFont val="Arial"/>
        <family val="2"/>
      </rPr>
      <t>=</t>
    </r>
  </si>
  <si>
    <r>
      <t>H2O_Temperature_p_h(p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;h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</si>
  <si>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 xml:space="preserve">Process 4 - 2 (not shown), is the </t>
  </si>
  <si>
    <t xml:space="preserve">heating and evaporation of the </t>
  </si>
  <si>
    <r>
      <t>Feed water tank with saturated water at t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</si>
  <si>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cooling water flow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.</t>
    </r>
  </si>
  <si>
    <t>Desuperheater water enthalpy (in feed water tank)</t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</si>
  <si>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</si>
  <si>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 xml:space="preserve"> SaturWater_Enthalpy_t(t3) </t>
  </si>
  <si>
    <t>Pressure in feed water tank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</si>
  <si>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</si>
  <si>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 xml:space="preserve">H2O_SaturationPressure_t(t3)  </t>
  </si>
  <si>
    <t>Water entropy in feed water tank</t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</si>
  <si>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</si>
  <si>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SaturWater_Entropy_t(t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  </t>
    </r>
  </si>
  <si>
    <t>Pumping process</t>
  </si>
  <si>
    <t>Feed water pump</t>
  </si>
  <si>
    <r>
      <t>s</t>
    </r>
    <r>
      <rPr>
        <vertAlign val="subscript"/>
        <sz val="10"/>
        <rFont val="Arial"/>
        <family val="2"/>
      </rPr>
      <t>4o</t>
    </r>
    <r>
      <rPr>
        <sz val="10"/>
        <rFont val="Arial"/>
        <family val="2"/>
      </rPr>
      <t xml:space="preserve"> =</t>
    </r>
  </si>
  <si>
    <t>Isentropic outlet entalpy</t>
  </si>
  <si>
    <r>
      <t>h</t>
    </r>
    <r>
      <rPr>
        <vertAlign val="subscript"/>
        <sz val="10"/>
        <rFont val="Arial"/>
        <family val="2"/>
      </rPr>
      <t>4o</t>
    </r>
    <r>
      <rPr>
        <sz val="10"/>
        <rFont val="Arial"/>
        <family val="2"/>
      </rPr>
      <t xml:space="preserve"> =</t>
    </r>
  </si>
  <si>
    <r>
      <t xml:space="preserve">Isentropic pump power demand: </t>
    </r>
    <r>
      <rPr>
        <sz val="10"/>
        <rFont val="Symbol"/>
        <family val="1"/>
      </rPr>
      <t xml:space="preserve"> </t>
    </r>
  </si>
  <si>
    <r>
      <t xml:space="preserve"> h</t>
    </r>
    <r>
      <rPr>
        <vertAlign val="subscript"/>
        <sz val="10"/>
        <rFont val="Arial"/>
        <family val="2"/>
      </rPr>
      <t>4o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</si>
  <si>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>Real pump specific  power demand</t>
  </si>
  <si>
    <t>Water pump efficiency</t>
  </si>
  <si>
    <t>Specific power demand for the water compresion</t>
  </si>
  <si>
    <r>
      <t>D</t>
    </r>
    <r>
      <rPr>
        <sz val="10"/>
        <rFont val="Arial"/>
        <family val="2"/>
      </rPr>
      <t>h</t>
    </r>
    <r>
      <rPr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</si>
  <si>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</t>
    </r>
  </si>
  <si>
    <t>Properties of desuperheating water, at PRV inlet (state "4")</t>
  </si>
  <si>
    <t>Water outlet enthalpy</t>
  </si>
  <si>
    <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</si>
  <si>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D</t>
    </r>
    <r>
      <rPr>
        <sz val="10"/>
        <rFont val="Arial"/>
        <family val="2"/>
      </rPr>
      <t>h</t>
    </r>
    <r>
      <rPr>
        <sz val="10"/>
        <rFont val="Arial"/>
        <family val="2"/>
      </rPr>
      <t xml:space="preserve"> </t>
    </r>
  </si>
  <si>
    <t>Water temperature at PRV inlet</t>
  </si>
  <si>
    <r>
      <t>t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</si>
  <si>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t xml:space="preserve"> H2O_Temperature_p_h(p4,h4)  </t>
  </si>
  <si>
    <t>Energy balance</t>
  </si>
  <si>
    <r>
      <t>E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</si>
  <si>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out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</si>
  <si>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 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* 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</si>
  <si>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+ 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* h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</si>
  <si>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* (h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-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=</t>
    </r>
  </si>
  <si>
    <r>
      <t>m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*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)  </t>
    </r>
  </si>
  <si>
    <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</si>
  <si>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 (h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/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)  </t>
    </r>
  </si>
  <si>
    <t>Required water per 1 kg of HP steam</t>
  </si>
  <si>
    <r>
      <t>m</t>
    </r>
    <r>
      <rPr>
        <vertAlign val="subscript"/>
        <sz val="10"/>
        <rFont val="Arial"/>
        <family val="2"/>
      </rPr>
      <t>w,1</t>
    </r>
    <r>
      <rPr>
        <sz val="10"/>
        <rFont val="Arial"/>
        <family val="2"/>
      </rPr>
      <t xml:space="preserve"> =</t>
    </r>
  </si>
  <si>
    <t>Water mass flow rate</t>
  </si>
  <si>
    <r>
      <t>m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* (h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-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/ (h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- 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</si>
  <si>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kg/s</t>
  </si>
  <si>
    <t>Low pressure steam flow rate</t>
  </si>
  <si>
    <r>
      <t>m</t>
    </r>
    <r>
      <rPr>
        <vertAlign val="subscript"/>
        <sz val="10"/>
        <rFont val="Arial"/>
        <family val="2"/>
      </rPr>
      <t>s_LP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</si>
  <si>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</t>
    </r>
  </si>
  <si>
    <t>Pump shaft power</t>
  </si>
  <si>
    <t>(The pump is calculated in the same way as a compressor would have been)</t>
  </si>
  <si>
    <r>
      <t>P</t>
    </r>
    <r>
      <rPr>
        <vertAlign val="subscript"/>
        <sz val="10"/>
        <rFont val="Arial"/>
        <family val="2"/>
      </rPr>
      <t>shaft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</si>
  <si>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h</t>
    </r>
  </si>
  <si>
    <t>Feed water flow rate</t>
  </si>
  <si>
    <t>kW</t>
  </si>
  <si>
    <t>Electrical pump power</t>
  </si>
  <si>
    <r>
      <t>P</t>
    </r>
    <r>
      <rPr>
        <vertAlign val="subscript"/>
        <sz val="10"/>
        <rFont val="Arial"/>
        <family val="2"/>
      </rPr>
      <t>Elec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</si>
  <si>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shaft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 </t>
    </r>
  </si>
  <si>
    <t>Motor efficiency</t>
  </si>
  <si>
    <r>
      <t>P</t>
    </r>
    <r>
      <rPr>
        <vertAlign val="subscript"/>
        <sz val="10"/>
        <rFont val="Arial"/>
        <family val="2"/>
      </rPr>
      <t>shaft</t>
    </r>
    <r>
      <rPr>
        <sz val="10"/>
        <rFont val="Arial"/>
        <family val="2"/>
      </rPr>
      <t xml:space="preserve"> 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</si>
  <si>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Pump power can also be calculated as: (the normal way)</t>
  </si>
  <si>
    <t>Water specific volume at inlet</t>
  </si>
  <si>
    <t>SaturWater_SpecVolume_t(t3)</t>
  </si>
  <si>
    <t>Water density</t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</si>
  <si>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</si>
  <si>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1 / v</t>
  </si>
  <si>
    <t>Water volume flow rate</t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</si>
  <si>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</si>
  <si>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 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</si>
  <si>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/s </t>
    </r>
  </si>
  <si>
    <t>Pump pressure increase</t>
  </si>
  <si>
    <r>
      <t>D</t>
    </r>
    <r>
      <rPr>
        <sz val="10"/>
        <rFont val="Arial"/>
        <family val="2"/>
      </rPr>
      <t>p =</t>
    </r>
  </si>
  <si>
    <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- p</t>
    </r>
    <r>
      <rPr>
        <vertAlign val="subscript"/>
        <sz val="10"/>
        <rFont val="Arial"/>
        <family val="2"/>
      </rPr>
      <t>3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</si>
  <si>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p/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</t>
    </r>
  </si>
  <si>
    <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h =</t>
    </r>
  </si>
  <si>
    <r>
      <t>D</t>
    </r>
    <r>
      <rPr>
        <sz val="10"/>
        <rFont val="Arial"/>
        <family val="2"/>
      </rPr>
      <t>p/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</t>
    </r>
  </si>
  <si>
    <t>[Pa * m3/kg ]</t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</si>
  <si>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h =</t>
    </r>
  </si>
  <si>
    <t>[N/m2 * m3/kg ]</t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</si>
  <si>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Symbol"/>
        <family val="1"/>
      </rPr>
      <t>D</t>
    </r>
    <r>
      <rPr>
        <sz val="10"/>
        <rFont val="Arial"/>
        <family val="2"/>
      </rPr>
      <t>h =</t>
    </r>
  </si>
  <si>
    <r>
      <t>D</t>
    </r>
    <r>
      <rPr>
        <sz val="10"/>
        <rFont val="Arial"/>
        <family val="2"/>
      </rPr>
      <t>p/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</t>
    </r>
  </si>
  <si>
    <t>[N * m/kg ]</t>
  </si>
  <si>
    <r>
      <t>(D</t>
    </r>
    <r>
      <rPr>
        <sz val="10"/>
        <rFont val="Arial"/>
        <family val="2"/>
      </rPr>
      <t>p/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 </t>
    </r>
  </si>
  <si>
    <t>[J/kg ]</t>
  </si>
  <si>
    <r>
      <rPr>
        <sz val="10"/>
        <rFont val="Symbol"/>
        <family val="1"/>
      </rPr>
      <t>D</t>
    </r>
    <r>
      <rPr>
        <sz val="10"/>
        <rFont val="Arial"/>
        <family val="2"/>
      </rPr>
      <t>P =</t>
    </r>
  </si>
  <si>
    <t>Pa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</si>
  <si>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</si>
  <si>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kg/m³</t>
  </si>
  <si>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</si>
  <si>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J/kg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</si>
  <si>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Loss</t>
    </r>
    <r>
      <rPr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</si>
  <si>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h * (1-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</t>
    </r>
  </si>
  <si>
    <r>
      <t xml:space="preserve">cp * 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</si>
  <si>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t>cp =</t>
  </si>
  <si>
    <t>kJ/(kg * K)</t>
  </si>
  <si>
    <r>
      <rPr>
        <sz val="10"/>
        <rFont val="Symbol"/>
        <family val="1"/>
      </rPr>
      <t>D</t>
    </r>
    <r>
      <rPr>
        <sz val="10"/>
        <rFont val="Arial"/>
        <family val="2"/>
      </rPr>
      <t>t =</t>
    </r>
  </si>
  <si>
    <r>
      <t>D</t>
    </r>
    <r>
      <rPr>
        <sz val="10"/>
        <rFont val="Arial"/>
        <family val="2"/>
      </rPr>
      <t>h / cp</t>
    </r>
  </si>
  <si>
    <t>K</t>
  </si>
  <si>
    <t>Rrel =</t>
  </si>
  <si>
    <t>Rabs / di</t>
  </si>
  <si>
    <t>V =</t>
  </si>
  <si>
    <r>
      <t>m /</t>
    </r>
    <r>
      <rPr>
        <sz val="10"/>
        <color indexed="8"/>
        <rFont val="Symbol"/>
        <family val="1"/>
      </rPr>
      <t xml:space="preserve"> r</t>
    </r>
  </si>
  <si>
    <t>J =</t>
  </si>
  <si>
    <t>f * (1 / di) * hv</t>
  </si>
  <si>
    <t>Rabs =</t>
  </si>
  <si>
    <t>m =</t>
  </si>
  <si>
    <t>f =</t>
  </si>
  <si>
    <t>di =</t>
  </si>
  <si>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 xml:space="preserve"> =</t>
    </r>
  </si>
  <si>
    <t>m³/s</t>
  </si>
  <si>
    <t>hv =</t>
  </si>
  <si>
    <t>Pa/m</t>
  </si>
  <si>
    <r>
      <t>P</t>
    </r>
    <r>
      <rPr>
        <vertAlign val="subscript"/>
        <sz val="10"/>
        <color indexed="8"/>
        <rFont val="Arial"/>
        <family val="2"/>
      </rPr>
      <t>g</t>
    </r>
    <r>
      <rPr>
        <sz val="10"/>
        <color indexed="8"/>
        <rFont val="Arial"/>
        <family val="2"/>
      </rPr>
      <t xml:space="preserve"> =</t>
    </r>
  </si>
  <si>
    <t>barg</t>
  </si>
  <si>
    <t>H =</t>
  </si>
  <si>
    <t>m.s.n.m.</t>
  </si>
  <si>
    <t>V / A</t>
  </si>
  <si>
    <t>dn =</t>
  </si>
  <si>
    <t>in</t>
  </si>
  <si>
    <t>SaturSteam_Entropy_p(H7)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</si>
  <si>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P =</t>
    </r>
  </si>
  <si>
    <t>J * Leq</t>
  </si>
  <si>
    <t>sch =</t>
  </si>
  <si>
    <t>P =</t>
  </si>
  <si>
    <t>A =</t>
  </si>
  <si>
    <t>m²</t>
  </si>
  <si>
    <t>Leq =</t>
  </si>
  <si>
    <t>kPa</t>
  </si>
  <si>
    <r>
      <rPr>
        <sz val="10"/>
        <color indexed="8"/>
        <rFont val="Symbol"/>
        <family val="1"/>
      </rPr>
      <t>r</t>
    </r>
    <r>
      <rPr>
        <sz val="10"/>
        <color indexed="8"/>
        <rFont val="Arial"/>
        <family val="2"/>
      </rPr>
      <t xml:space="preserve"> / 2 * v^2</t>
    </r>
  </si>
  <si>
    <r>
      <t>p</t>
    </r>
    <r>
      <rPr>
        <vertAlign val="subscript"/>
        <sz val="10"/>
        <color indexed="8"/>
        <rFont val="Arial"/>
        <family val="2"/>
      </rPr>
      <t>atm</t>
    </r>
    <r>
      <rPr>
        <sz val="10"/>
        <color indexed="8"/>
        <rFont val="Arial"/>
        <family val="2"/>
      </rPr>
      <t xml:space="preserve"> = </t>
    </r>
  </si>
  <si>
    <t>m.a.s.l.</t>
  </si>
  <si>
    <t>SaturSteam_SpecVolume_t</t>
  </si>
  <si>
    <t>Re =</t>
  </si>
  <si>
    <r>
      <t xml:space="preserve">v * d / </t>
    </r>
    <r>
      <rPr>
        <sz val="10"/>
        <color indexed="8"/>
        <rFont val="Symbol"/>
        <family val="1"/>
      </rPr>
      <t>n</t>
    </r>
    <r>
      <rPr>
        <sz val="10"/>
        <color indexed="8"/>
        <rFont val="Arial"/>
        <family val="2"/>
      </rPr>
      <t xml:space="preserve"> </t>
    </r>
  </si>
  <si>
    <t>m³/Kg</t>
  </si>
  <si>
    <r>
      <t>p</t>
    </r>
    <r>
      <rPr>
        <vertAlign val="subscript"/>
        <sz val="10"/>
        <color indexed="8"/>
        <rFont val="Arial"/>
        <family val="2"/>
      </rPr>
      <t>atm</t>
    </r>
    <r>
      <rPr>
        <sz val="10"/>
        <color indexed="8"/>
        <rFont val="Arial"/>
        <family val="2"/>
      </rPr>
      <t xml:space="preserve"> + P</t>
    </r>
    <r>
      <rPr>
        <vertAlign val="subscript"/>
        <sz val="10"/>
        <color indexed="8"/>
        <rFont val="Arial"/>
        <family val="2"/>
      </rPr>
      <t>g</t>
    </r>
  </si>
  <si>
    <r>
      <rPr>
        <sz val="10"/>
        <color indexed="8"/>
        <rFont val="Symbol"/>
        <family val="1"/>
      </rPr>
      <t>n</t>
    </r>
    <r>
      <rPr>
        <sz val="10"/>
        <color indexed="8"/>
        <rFont val="Arial"/>
        <family val="2"/>
      </rPr>
      <t xml:space="preserve"> =</t>
    </r>
  </si>
  <si>
    <t>m²/s</t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</si>
  <si>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 xml:space="preserve"> =</t>
    </r>
  </si>
  <si>
    <t>SaturSteam_DynViscosity_t</t>
  </si>
  <si>
    <t xml:space="preserve">m </t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</si>
  <si>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 xml:space="preserve"> /</t>
    </r>
    <r>
      <rPr>
        <sz val="10"/>
        <color indexed="8"/>
        <rFont val="Symbol"/>
        <family val="1"/>
      </rPr>
      <t xml:space="preserve"> r</t>
    </r>
  </si>
  <si>
    <r>
      <t>(</t>
    </r>
    <r>
      <rPr>
        <sz val="10"/>
        <color indexed="8"/>
        <rFont val="Symbol"/>
        <family val="1"/>
      </rPr>
      <t>p</t>
    </r>
    <r>
      <rPr>
        <sz val="10"/>
        <color indexed="8"/>
        <rFont val="Arial"/>
        <family val="2"/>
      </rPr>
      <t>/4)*di^2</t>
    </r>
  </si>
  <si>
    <t>Nygaard Johan</t>
  </si>
  <si>
    <t>AFCONSULT</t>
  </si>
  <si>
    <t>tsat =</t>
  </si>
  <si>
    <t xml:space="preserve">compressed liquid will exist for a temperature     t &lt; tsat </t>
  </si>
  <si>
    <r>
      <t xml:space="preserve">Steamdat functions </t>
    </r>
    <r>
      <rPr>
        <sz val="8"/>
        <rFont val="Arial"/>
        <family val="2"/>
      </rPr>
      <t>(Note 1)</t>
    </r>
  </si>
  <si>
    <t>Delin Lennart [mailto:Lennart.Delin@afconsult.com]</t>
  </si>
  <si>
    <t>Pressure loss in steam pipe</t>
  </si>
  <si>
    <t>Inside pipe diameter</t>
  </si>
  <si>
    <t>Density</t>
  </si>
  <si>
    <t>Reynolds number</t>
  </si>
  <si>
    <t>locality with a height above sea level "H".</t>
  </si>
  <si>
    <t xml:space="preserve">Carbon steel pipe with nominal diameter </t>
  </si>
  <si>
    <t xml:space="preserve">"dn", schedule "sch" and absolute </t>
  </si>
  <si>
    <t>Absolute viscosity</t>
  </si>
  <si>
    <t>rugosity  "Rabs".</t>
  </si>
  <si>
    <t>Steam mass flow rate "m".</t>
  </si>
  <si>
    <t>Pipe section area</t>
  </si>
  <si>
    <t>Friction factor</t>
  </si>
  <si>
    <t>Pipe equivalent length "Leq".</t>
  </si>
  <si>
    <t>Kinematic viscosity</t>
  </si>
  <si>
    <t>Relative rugosit</t>
  </si>
  <si>
    <t>Unit pressure loss</t>
  </si>
  <si>
    <t>Volumetric flow rate</t>
  </si>
  <si>
    <t>Steam properties</t>
  </si>
  <si>
    <t>Local atmospheric pressure</t>
  </si>
  <si>
    <r>
      <t xml:space="preserve"> P</t>
    </r>
    <r>
      <rPr>
        <vertAlign val="subscript"/>
        <sz val="8"/>
        <color indexed="8"/>
        <rFont val="Arial"/>
        <family val="2"/>
      </rPr>
      <t>atm</t>
    </r>
    <r>
      <rPr>
        <sz val="8"/>
        <color indexed="8"/>
        <rFont val="Arial"/>
        <family val="2"/>
      </rPr>
      <t xml:space="preserve"> = 101,325* (1 -2,25577E-5 * H)^5,25588</t>
    </r>
  </si>
  <si>
    <t>Pressure loss</t>
  </si>
  <si>
    <t>Absolute pressure</t>
  </si>
  <si>
    <t>Kinematic pressure</t>
  </si>
  <si>
    <t>Calculated  values:</t>
  </si>
  <si>
    <r>
      <t>H2O_Enthalpy_p_s(p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,s</t>
    </r>
    <r>
      <rPr>
        <vertAlign val="subscript"/>
        <sz val="10"/>
        <rFont val="Arial"/>
        <family val="2"/>
      </rPr>
      <t>2s</t>
    </r>
    <r>
      <rPr>
        <sz val="10"/>
        <rFont val="Arial"/>
        <family val="2"/>
      </rPr>
      <t>)</t>
    </r>
  </si>
  <si>
    <t>For a compression</t>
  </si>
  <si>
    <t>Thus</t>
  </si>
  <si>
    <r>
      <t>(D</t>
    </r>
    <r>
      <rPr>
        <b/>
        <sz val="10"/>
        <color indexed="9"/>
        <rFont val="Arial"/>
        <family val="2"/>
      </rPr>
      <t>p/</t>
    </r>
    <r>
      <rPr>
        <b/>
        <sz val="10"/>
        <color indexed="9"/>
        <rFont val="Symbol"/>
        <family val="1"/>
      </rPr>
      <t>r</t>
    </r>
    <r>
      <rPr>
        <b/>
        <vertAlign val="subscript"/>
        <sz val="10"/>
        <color indexed="9"/>
        <rFont val="Arial"/>
        <family val="2"/>
      </rPr>
      <t>w</t>
    </r>
    <r>
      <rPr>
        <b/>
        <sz val="10"/>
        <color indexed="9"/>
        <rFont val="Arial"/>
        <family val="2"/>
      </rPr>
      <t>)/</t>
    </r>
    <r>
      <rPr>
        <b/>
        <sz val="10"/>
        <color indexed="9"/>
        <rFont val="Symbol"/>
        <family val="1"/>
      </rPr>
      <t>h</t>
    </r>
    <r>
      <rPr>
        <b/>
        <vertAlign val="subscript"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 </t>
    </r>
  </si>
  <si>
    <r>
      <t>D</t>
    </r>
    <r>
      <rPr>
        <b/>
        <sz val="12"/>
        <color indexed="9"/>
        <rFont val="Arial"/>
        <family val="2"/>
      </rPr>
      <t>h =</t>
    </r>
  </si>
  <si>
    <t>Units</t>
  </si>
  <si>
    <t>The actual change of enthalpy [J / kg] in a</t>
  </si>
  <si>
    <t>compression process is equivalent to the</t>
  </si>
  <si>
    <t>pressure increment [Pa] divided by the</t>
  </si>
  <si>
    <t>Pressure increment</t>
  </si>
  <si>
    <t>Enthalpy change</t>
  </si>
  <si>
    <t>ft wc</t>
  </si>
  <si>
    <t>mwc</t>
  </si>
  <si>
    <t>Power loss to the fluid</t>
  </si>
  <si>
    <t>Fluid temperature increment</t>
  </si>
  <si>
    <t>Enthalpy and temperature change in a  compression process  for a given pressure increment</t>
  </si>
  <si>
    <t>Fluid:</t>
  </si>
  <si>
    <t>Water</t>
  </si>
  <si>
    <t>Water specific heat</t>
  </si>
  <si>
    <t>Pump efficiency</t>
  </si>
  <si>
    <r>
      <t>Saturated steam at pressure "P</t>
    </r>
    <r>
      <rPr>
        <vertAlign val="subscript"/>
        <sz val="10"/>
        <color indexed="8"/>
        <rFont val="Calibri"/>
        <family val="2"/>
      </rPr>
      <t>g",</t>
    </r>
    <r>
      <rPr>
        <sz val="10"/>
        <color indexed="8"/>
        <rFont val="Calibri"/>
        <family val="2"/>
      </rPr>
      <t xml:space="preserve">  in a</t>
    </r>
  </si>
  <si>
    <t>http://www.watsonmcdaniel.com/2011Catalog/EngineeringData.pdf</t>
  </si>
  <si>
    <t>[2]</t>
  </si>
  <si>
    <t>[1]</t>
  </si>
  <si>
    <t>Service</t>
  </si>
  <si>
    <t>Velocity</t>
  </si>
  <si>
    <t>Pressure drops</t>
  </si>
  <si>
    <t>psi/100 ft</t>
  </si>
  <si>
    <t>ft/min</t>
  </si>
  <si>
    <t>Vacuum</t>
  </si>
  <si>
    <t>0 - 15 psig</t>
  </si>
  <si>
    <t>15 - 100 psig</t>
  </si>
  <si>
    <t>Over 100 psig</t>
  </si>
  <si>
    <t>Steam Main, Low noise</t>
  </si>
  <si>
    <t>Steam Main, Industrial Plant</t>
  </si>
  <si>
    <t>Superheated Steam</t>
  </si>
  <si>
    <t>100 - 500 psig</t>
  </si>
  <si>
    <t>Condensate</t>
  </si>
  <si>
    <t>Boiler feed pump suction</t>
  </si>
  <si>
    <t>Condensate pump suction</t>
  </si>
  <si>
    <t>Condensate pump discharge</t>
  </si>
  <si>
    <t>Boiler feed pump discharge</t>
  </si>
  <si>
    <t>Heating systems</t>
  </si>
  <si>
    <t>Pump suction lines</t>
  </si>
  <si>
    <t>Pump discharge lines</t>
  </si>
  <si>
    <t>Cooling water systems</t>
  </si>
  <si>
    <t>ft/sec</t>
  </si>
  <si>
    <t>Hot water (quiet flow)</t>
  </si>
  <si>
    <t xml:space="preserve">Recommended velocities and pressure drops for </t>
  </si>
  <si>
    <r>
      <rPr>
        <b/>
        <sz val="14"/>
        <color indexed="40"/>
        <rFont val="Calibri"/>
        <family val="2"/>
      </rPr>
      <t>various services</t>
    </r>
    <r>
      <rPr>
        <sz val="11"/>
        <color theme="1"/>
        <rFont val="Calibri"/>
        <family val="2"/>
      </rPr>
      <t xml:space="preserve">   [2]</t>
    </r>
  </si>
  <si>
    <t>Engineering Data</t>
  </si>
  <si>
    <t>Watson McDaniel</t>
  </si>
  <si>
    <t>1 ft/min =</t>
  </si>
  <si>
    <t>FtMin =</t>
  </si>
  <si>
    <t>1 ft/sec =</t>
  </si>
  <si>
    <t>FtSec =</t>
  </si>
  <si>
    <t>1 psi /100 ft  =</t>
  </si>
  <si>
    <t>bar/100 ft</t>
  </si>
  <si>
    <t>bar/30.48 m</t>
  </si>
  <si>
    <t>bar/m</t>
  </si>
  <si>
    <t>bar/100 m</t>
  </si>
  <si>
    <t>1psi /100 ft  =</t>
  </si>
  <si>
    <t>PsiBar =</t>
  </si>
  <si>
    <t>0 - 1.03 bar (g)</t>
  </si>
  <si>
    <t>1.03 - 7 bar (g)</t>
  </si>
  <si>
    <t>Over  7 bar (g)</t>
  </si>
  <si>
    <t>0 - 7 bar (g)</t>
  </si>
  <si>
    <t>7 - 35 bar (g)</t>
  </si>
  <si>
    <t>0- 100 psig</t>
  </si>
  <si>
    <t>According [2], for saturated steam with pressure in the range 1 to 7 bar (g),</t>
  </si>
  <si>
    <t>the recommended velocity is in the range 10 to 38 m/s.</t>
  </si>
  <si>
    <t>Note (1)</t>
  </si>
  <si>
    <t>Flow velocity (Note 1)</t>
  </si>
  <si>
    <t>and the pressure drop in the range  0.11 to 0.34 bar / 100m</t>
  </si>
  <si>
    <t>Pressure loss per 100 m</t>
  </si>
  <si>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100m</t>
    </r>
    <r>
      <rPr>
        <sz val="10"/>
        <color indexed="8"/>
        <rFont val="Arial"/>
        <family val="2"/>
      </rPr>
      <t xml:space="preserve"> =</t>
    </r>
  </si>
  <si>
    <r>
      <t>J</t>
    </r>
    <r>
      <rPr>
        <vertAlign val="subscript"/>
        <sz val="10"/>
        <color indexed="8"/>
        <rFont val="Arial"/>
        <family val="2"/>
      </rPr>
      <t>100m</t>
    </r>
    <r>
      <rPr>
        <sz val="10"/>
        <color indexed="8"/>
        <rFont val="Arial"/>
        <family val="2"/>
      </rPr>
      <t xml:space="preserve"> =</t>
    </r>
  </si>
  <si>
    <t>bar / 100 m</t>
  </si>
  <si>
    <t>density [kg / m3] and the efficiency.</t>
  </si>
  <si>
    <t>Input data is in yellow cells.  Water and steam properties calculated with "Steamdat_97" (Note 1)</t>
  </si>
  <si>
    <r>
      <t>Entropy at steam inlet conditions (p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 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</si>
  <si>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Note 1. With permission (See sheet 6 )</t>
  </si>
  <si>
    <t xml:space="preserve"> With permission (See sheet 6  )</t>
  </si>
  <si>
    <t>[3]</t>
  </si>
  <si>
    <t>www.piping-tools.net</t>
  </si>
  <si>
    <t>Link to download the steam functions:</t>
  </si>
  <si>
    <t>This set of functions uses Steamdat_97 . [3]</t>
  </si>
  <si>
    <t>Input data is in yelow cells, calculated values in green cells</t>
  </si>
  <si>
    <t xml:space="preserve">I am pleased to announce that Steamdat is now online again at ÅF external webpage. </t>
  </si>
  <si>
    <t xml:space="preserve">Please find the add-in with installation instructions at </t>
  </si>
  <si>
    <t>http://www.afconsult.com/en/do-business/your-industry/process-industry/steam-and-water-program-excel-addin/</t>
  </si>
  <si>
    <t>Steam. Steamdat functions. Link to free download</t>
  </si>
  <si>
    <t>bar (g)</t>
  </si>
  <si>
    <t>Note: Steamdat 97 is used [3]</t>
  </si>
  <si>
    <t>g =</t>
  </si>
  <si>
    <t>m/s²</t>
  </si>
  <si>
    <t>Water entropy after pump, isentropic process</t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</si>
  <si>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</si>
  <si>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H2O_Enthalpy_p_s(p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,s</t>
    </r>
    <r>
      <rPr>
        <vertAlign val="subscript"/>
        <sz val="10"/>
        <rFont val="Arial"/>
        <family val="2"/>
      </rPr>
      <t>4o</t>
    </r>
    <r>
      <rPr>
        <sz val="10"/>
        <rFont val="Arial"/>
        <family val="2"/>
      </rPr>
      <t xml:space="preserve">)   </t>
    </r>
  </si>
  <si>
    <r>
      <t>D</t>
    </r>
    <r>
      <rPr>
        <sz val="10"/>
        <rFont val="Arial"/>
        <family val="2"/>
      </rPr>
      <t xml:space="preserve">h / </t>
    </r>
    <r>
      <rPr>
        <sz val="10"/>
        <rFont val="Symbol"/>
        <family val="1"/>
      </rP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</si>
  <si>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 xml:space="preserve"> =</t>
    </r>
  </si>
  <si>
    <t>kg w / kg s</t>
  </si>
  <si>
    <t>kg s</t>
  </si>
  <si>
    <t>Let</t>
  </si>
  <si>
    <r>
      <t>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=</t>
    </r>
  </si>
  <si>
    <r>
      <t xml:space="preserve"> (h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/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 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)  </t>
    </r>
  </si>
  <si>
    <t>thus</t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</si>
  <si>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* 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</t>
    </r>
  </si>
  <si>
    <r>
      <t>m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2"/>
      </rPr>
      <t xml:space="preserve"> * 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</t>
    </r>
  </si>
  <si>
    <r>
      <t>m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* 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 </t>
    </r>
  </si>
  <si>
    <t>ton h</t>
  </si>
  <si>
    <t>Rev. cjc 01.06.2016</t>
  </si>
  <si>
    <t>SaturWater_Entropy_p</t>
  </si>
  <si>
    <t>SaturSteam_Prandtl_t</t>
  </si>
  <si>
    <t>To get "Steamdat"  directly from ÂF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</si>
</sst>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E+00"/>
    <numFmt numFmtId="168" formatCode="0.00000"/>
    <numFmt numFmtId="169" formatCode="0.000000"/>
    <numFmt numFmtId="170" formatCode="#,##0.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6"/>
      <color indexed="12"/>
      <name val="Arial"/>
      <family val="2"/>
    </font>
    <font>
      <b/>
      <sz val="10"/>
      <name val="MS Sans Serif"/>
      <family val="2"/>
    </font>
    <font>
      <b/>
      <sz val="10"/>
      <color indexed="12"/>
      <name val="Arial"/>
      <family val="2"/>
    </font>
    <font>
      <b/>
      <sz val="8"/>
      <color indexed="9"/>
      <name val="Arial Narrow"/>
      <family val="2"/>
    </font>
    <font>
      <b/>
      <vertAlign val="subscript"/>
      <sz val="8"/>
      <color indexed="9"/>
      <name val="Arial Narrow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vertAlign val="subscript"/>
      <sz val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vertAlign val="subscript"/>
      <sz val="10"/>
      <color indexed="12"/>
      <name val="Arial"/>
      <family val="2"/>
    </font>
    <font>
      <sz val="10"/>
      <color indexed="51"/>
      <name val="Arial"/>
      <family val="2"/>
    </font>
    <font>
      <b/>
      <vertAlign val="subscript"/>
      <sz val="10"/>
      <name val="Arial"/>
      <family val="2"/>
    </font>
    <font>
      <sz val="8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b/>
      <sz val="14"/>
      <color indexed="40"/>
      <name val="Calibri"/>
      <family val="2"/>
    </font>
    <font>
      <vertAlign val="subscript"/>
      <sz val="8"/>
      <color indexed="8"/>
      <name val="Arial"/>
      <family val="2"/>
    </font>
    <font>
      <b/>
      <sz val="10"/>
      <color indexed="9"/>
      <name val="Symbol"/>
      <family val="1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2"/>
      <color indexed="9"/>
      <name val="Arial"/>
      <family val="2"/>
    </font>
    <font>
      <vertAlign val="subscript"/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9"/>
      <color indexed="8"/>
      <name val="Calibri"/>
      <family val="2"/>
    </font>
    <font>
      <b/>
      <sz val="10"/>
      <color indexed="63"/>
      <name val="Arial"/>
      <family val="2"/>
    </font>
    <font>
      <b/>
      <sz val="14"/>
      <color indexed="8"/>
      <name val="Calibri"/>
      <family val="2"/>
    </font>
    <font>
      <sz val="10"/>
      <color indexed="8"/>
      <name val="Tahoma"/>
      <family val="2"/>
    </font>
    <font>
      <sz val="8"/>
      <color indexed="40"/>
      <name val="Arial"/>
      <family val="2"/>
    </font>
    <font>
      <b/>
      <sz val="12"/>
      <color indexed="40"/>
      <name val="Arial"/>
      <family val="2"/>
    </font>
    <font>
      <sz val="10"/>
      <color indexed="30"/>
      <name val="Arial"/>
      <family val="2"/>
    </font>
    <font>
      <b/>
      <sz val="12"/>
      <color indexed="9"/>
      <name val="Symbol"/>
      <family val="1"/>
    </font>
    <font>
      <sz val="8"/>
      <color indexed="40"/>
      <name val="Calibri"/>
      <family val="2"/>
    </font>
    <font>
      <b/>
      <sz val="12"/>
      <color indexed="4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14"/>
      <name val="Arial"/>
      <family val="2"/>
    </font>
    <font>
      <b/>
      <vertAlign val="subscript"/>
      <sz val="8"/>
      <color indexed="14"/>
      <name val="Arial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vertAlign val="subscript"/>
      <sz val="8"/>
      <color indexed="12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333333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8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Calibri"/>
      <family val="2"/>
    </font>
    <font>
      <sz val="10"/>
      <color rgb="FF0070C0"/>
      <name val="Arial"/>
      <family val="2"/>
    </font>
    <font>
      <sz val="8"/>
      <color rgb="FF00B0F0"/>
      <name val="Calibri"/>
      <family val="2"/>
    </font>
    <font>
      <b/>
      <sz val="12"/>
      <color rgb="FF00B0F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00B0F0"/>
      <name val="Arial"/>
      <family val="2"/>
    </font>
    <font>
      <b/>
      <sz val="12"/>
      <color theme="0"/>
      <name val="Symbol"/>
      <family val="1"/>
    </font>
    <font>
      <b/>
      <sz val="10"/>
      <color theme="0"/>
      <name val="Symbol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/>
      <right/>
      <top style="medium">
        <color indexed="12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double">
        <color indexed="14"/>
      </left>
      <right style="thin"/>
      <top style="double">
        <color indexed="14"/>
      </top>
      <bottom style="thin"/>
    </border>
    <border>
      <left/>
      <right style="thin"/>
      <top style="double">
        <color indexed="14"/>
      </top>
      <bottom style="thin"/>
    </border>
    <border>
      <left style="thin"/>
      <right style="thin"/>
      <top style="double">
        <color indexed="14"/>
      </top>
      <bottom style="thin"/>
    </border>
    <border>
      <left style="thin"/>
      <right style="double">
        <color indexed="14"/>
      </right>
      <top style="double">
        <color indexed="14"/>
      </top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 style="thin"/>
      <right style="thin"/>
      <top style="double">
        <color indexed="12"/>
      </top>
      <bottom/>
    </border>
    <border>
      <left style="thin"/>
      <right style="double">
        <color indexed="12"/>
      </right>
      <top style="double">
        <color indexed="12"/>
      </top>
      <bottom/>
    </border>
    <border>
      <left style="double">
        <color indexed="14"/>
      </left>
      <right style="double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>
        <color indexed="14"/>
      </right>
      <top style="thin"/>
      <bottom/>
    </border>
    <border>
      <left style="double">
        <color indexed="12"/>
      </left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double">
        <color indexed="12"/>
      </left>
      <right/>
      <top/>
      <bottom/>
    </border>
    <border>
      <left style="thin"/>
      <right style="thin"/>
      <top/>
      <bottom/>
    </border>
    <border>
      <left style="thin"/>
      <right style="double">
        <color indexed="12"/>
      </right>
      <top/>
      <bottom/>
    </border>
    <border>
      <left style="double">
        <color indexed="14"/>
      </left>
      <right style="double">
        <color indexed="14"/>
      </right>
      <top style="thin"/>
      <bottom style="thin"/>
    </border>
    <border>
      <left style="double">
        <color indexed="14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>
        <color indexed="14"/>
      </right>
      <top style="thin"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 style="thin"/>
      <right style="thin"/>
      <top/>
      <bottom style="double">
        <color indexed="12"/>
      </bottom>
    </border>
    <border>
      <left style="thin"/>
      <right style="double">
        <color indexed="12"/>
      </right>
      <top/>
      <bottom style="double">
        <color indexed="12"/>
      </bottom>
    </border>
    <border>
      <left style="double">
        <color indexed="14"/>
      </left>
      <right style="double">
        <color indexed="14"/>
      </right>
      <top style="thin"/>
      <bottom style="double">
        <color indexed="14"/>
      </bottom>
    </border>
    <border>
      <left style="double">
        <color indexed="14"/>
      </left>
      <right style="thin"/>
      <top style="thin"/>
      <bottom style="double">
        <color indexed="14"/>
      </bottom>
    </border>
    <border>
      <left style="thin"/>
      <right style="thin"/>
      <top style="thin"/>
      <bottom style="double">
        <color indexed="14"/>
      </bottom>
    </border>
    <border>
      <left style="thin"/>
      <right style="double">
        <color indexed="14"/>
      </right>
      <top style="thin"/>
      <bottom style="double">
        <color indexed="14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 style="thin"/>
      <bottom style="thin"/>
    </border>
    <border>
      <left/>
      <right/>
      <top style="thin"/>
      <bottom style="thin"/>
    </border>
    <border>
      <left style="medium">
        <color indexed="12"/>
      </left>
      <right/>
      <top/>
      <bottom style="thin"/>
    </border>
    <border>
      <left/>
      <right style="thin"/>
      <top/>
      <bottom style="thin"/>
    </border>
    <border>
      <left style="medium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 style="medium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/>
      <top style="thin">
        <color indexed="12"/>
      </top>
      <bottom style="thin">
        <color indexed="12"/>
      </bottom>
    </border>
    <border>
      <left style="thin"/>
      <right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medium">
        <color indexed="12"/>
      </left>
      <right/>
      <top style="thin">
        <color indexed="12"/>
      </top>
      <bottom style="thin"/>
    </border>
    <border>
      <left/>
      <right/>
      <top style="thin">
        <color indexed="12"/>
      </top>
      <bottom style="thin"/>
    </border>
    <border>
      <left/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/>
      <right style="double">
        <color rgb="FF00B0F0"/>
      </right>
      <top style="double">
        <color rgb="FF00B0F0"/>
      </top>
      <bottom/>
    </border>
    <border>
      <left style="double">
        <color rgb="FF00B0F0"/>
      </left>
      <right/>
      <top/>
      <bottom/>
    </border>
    <border>
      <left/>
      <right style="double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/>
      <top/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/>
    </border>
    <border>
      <left/>
      <right style="thin"/>
      <top/>
      <bottom/>
    </border>
    <border>
      <left/>
      <right style="thin">
        <color rgb="FF00B0F0"/>
      </right>
      <top style="thin">
        <color rgb="FF00B0F0"/>
      </top>
      <bottom/>
    </border>
    <border>
      <left style="double">
        <color rgb="FF00B0F0"/>
      </left>
      <right/>
      <top style="thin">
        <color rgb="FF00B0F0"/>
      </top>
      <bottom/>
    </border>
    <border>
      <left style="double">
        <color rgb="FF00B0F0"/>
      </left>
      <right/>
      <top/>
      <bottom style="thin">
        <color rgb="FF00B0F0"/>
      </bottom>
    </border>
    <border>
      <left/>
      <right style="thin">
        <color rgb="FF00B0F0"/>
      </right>
      <top/>
      <bottom style="double">
        <color rgb="FF00B0F0"/>
      </bottom>
    </border>
    <border>
      <left/>
      <right style="double">
        <color rgb="FF00B0F0"/>
      </right>
      <top style="thin">
        <color rgb="FF00B0F0"/>
      </top>
      <bottom/>
    </border>
    <border>
      <left/>
      <right style="double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rgb="FF00B0F0"/>
      </left>
      <right/>
      <top style="thin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0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164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1" fontId="0" fillId="33" borderId="11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1" fontId="0" fillId="33" borderId="14" xfId="0" applyNumberFormat="1" applyFill="1" applyBorder="1" applyAlignment="1">
      <alignment horizontal="center"/>
    </xf>
    <xf numFmtId="11" fontId="0" fillId="33" borderId="25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1" fontId="0" fillId="33" borderId="17" xfId="0" applyNumberFormat="1" applyFill="1" applyBorder="1" applyAlignment="1">
      <alignment horizontal="center"/>
    </xf>
    <xf numFmtId="11" fontId="0" fillId="33" borderId="26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11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5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2" fillId="34" borderId="39" xfId="0" applyFont="1" applyFill="1" applyBorder="1" applyAlignment="1" applyProtection="1">
      <alignment horizontal="center"/>
      <protection/>
    </xf>
    <xf numFmtId="0" fontId="12" fillId="34" borderId="40" xfId="0" applyFont="1" applyFill="1" applyBorder="1" applyAlignment="1" applyProtection="1">
      <alignment horizontal="center"/>
      <protection/>
    </xf>
    <xf numFmtId="0" fontId="12" fillId="34" borderId="41" xfId="0" applyFont="1" applyFill="1" applyBorder="1" applyAlignment="1" applyProtection="1">
      <alignment horizontal="center"/>
      <protection/>
    </xf>
    <xf numFmtId="0" fontId="12" fillId="34" borderId="42" xfId="0" applyFont="1" applyFill="1" applyBorder="1" applyAlignment="1" applyProtection="1">
      <alignment horizontal="center"/>
      <protection/>
    </xf>
    <xf numFmtId="0" fontId="12" fillId="34" borderId="43" xfId="0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>
      <alignment horizontal="left" vertical="center"/>
    </xf>
    <xf numFmtId="0" fontId="5" fillId="35" borderId="45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13" fontId="0" fillId="0" borderId="48" xfId="0" applyNumberFormat="1" applyBorder="1" applyAlignment="1" applyProtection="1">
      <alignment/>
      <protection/>
    </xf>
    <xf numFmtId="0" fontId="0" fillId="0" borderId="48" xfId="0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3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 quotePrefix="1">
      <alignment horizontal="center"/>
      <protection/>
    </xf>
    <xf numFmtId="0" fontId="10" fillId="33" borderId="34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36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13" fontId="0" fillId="0" borderId="52" xfId="0" applyNumberFormat="1" applyBorder="1" applyAlignment="1" applyProtection="1">
      <alignment/>
      <protection/>
    </xf>
    <xf numFmtId="0" fontId="0" fillId="0" borderId="52" xfId="0" applyBorder="1" applyAlignment="1" applyProtection="1">
      <alignment horizontal="center"/>
      <protection/>
    </xf>
    <xf numFmtId="0" fontId="10" fillId="33" borderId="53" xfId="0" applyFont="1" applyFill="1" applyBorder="1" applyAlignment="1" applyProtection="1">
      <alignment horizontal="center"/>
      <protection/>
    </xf>
    <xf numFmtId="0" fontId="10" fillId="33" borderId="5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center"/>
      <protection/>
    </xf>
    <xf numFmtId="3" fontId="0" fillId="0" borderId="52" xfId="0" applyNumberFormat="1" applyBorder="1" applyAlignment="1" applyProtection="1">
      <alignment horizontal="center"/>
      <protection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/>
    </xf>
    <xf numFmtId="0" fontId="0" fillId="0" borderId="57" xfId="0" applyBorder="1" applyAlignment="1">
      <alignment/>
    </xf>
    <xf numFmtId="0" fontId="5" fillId="36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1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14" fillId="33" borderId="53" xfId="0" applyFont="1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3" fontId="0" fillId="0" borderId="60" xfId="0" applyNumberFormat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10" fillId="33" borderId="62" xfId="0" applyFont="1" applyFill="1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left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37" borderId="64" xfId="0" applyFont="1" applyFill="1" applyBorder="1" applyAlignment="1" applyProtection="1">
      <alignment horizontal="left"/>
      <protection/>
    </xf>
    <xf numFmtId="0" fontId="15" fillId="37" borderId="65" xfId="0" applyFont="1" applyFill="1" applyBorder="1" applyAlignment="1" applyProtection="1">
      <alignment/>
      <protection/>
    </xf>
    <xf numFmtId="0" fontId="15" fillId="37" borderId="65" xfId="0" applyFont="1" applyFill="1" applyBorder="1" applyAlignment="1" applyProtection="1">
      <alignment horizontal="center"/>
      <protection/>
    </xf>
    <xf numFmtId="0" fontId="5" fillId="37" borderId="65" xfId="0" applyFont="1" applyFill="1" applyBorder="1" applyAlignment="1" applyProtection="1">
      <alignment/>
      <protection/>
    </xf>
    <xf numFmtId="0" fontId="15" fillId="37" borderId="66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right"/>
      <protection/>
    </xf>
    <xf numFmtId="1" fontId="17" fillId="33" borderId="41" xfId="0" applyNumberFormat="1" applyFont="1" applyFill="1" applyBorder="1" applyAlignment="1" applyProtection="1">
      <alignment horizontal="center"/>
      <protection locked="0"/>
    </xf>
    <xf numFmtId="166" fontId="17" fillId="0" borderId="0" xfId="0" applyNumberFormat="1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right"/>
      <protection/>
    </xf>
    <xf numFmtId="166" fontId="17" fillId="33" borderId="70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5" fillId="33" borderId="71" xfId="0" applyFont="1" applyFill="1" applyBorder="1" applyAlignment="1" applyProtection="1" quotePrefix="1">
      <alignment horizontal="left"/>
      <protection/>
    </xf>
    <xf numFmtId="0" fontId="5" fillId="33" borderId="72" xfId="0" applyFont="1" applyFill="1" applyBorder="1" applyAlignment="1" applyProtection="1">
      <alignment/>
      <protection/>
    </xf>
    <xf numFmtId="0" fontId="5" fillId="33" borderId="72" xfId="0" applyFont="1" applyFill="1" applyBorder="1" applyAlignment="1" applyProtection="1">
      <alignment horizontal="center"/>
      <protection/>
    </xf>
    <xf numFmtId="0" fontId="5" fillId="0" borderId="73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0" fontId="2" fillId="0" borderId="74" xfId="0" applyFont="1" applyBorder="1" applyAlignment="1" applyProtection="1">
      <alignment horizontal="center"/>
      <protection/>
    </xf>
    <xf numFmtId="167" fontId="5" fillId="0" borderId="75" xfId="0" applyNumberFormat="1" applyFont="1" applyFill="1" applyBorder="1" applyAlignment="1" applyProtection="1">
      <alignment horizontal="left"/>
      <protection/>
    </xf>
    <xf numFmtId="167" fontId="5" fillId="0" borderId="76" xfId="0" applyNumberFormat="1" applyFont="1" applyFill="1" applyBorder="1" applyAlignment="1" applyProtection="1">
      <alignment horizontal="center"/>
      <protection/>
    </xf>
    <xf numFmtId="0" fontId="5" fillId="0" borderId="77" xfId="0" applyFont="1" applyFill="1" applyBorder="1" applyAlignment="1" applyProtection="1">
      <alignment horizontal="center"/>
      <protection/>
    </xf>
    <xf numFmtId="0" fontId="5" fillId="0" borderId="78" xfId="0" applyFont="1" applyFill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5" fillId="0" borderId="74" xfId="0" applyFont="1" applyBorder="1" applyAlignment="1" applyProtection="1">
      <alignment horizontal="center"/>
      <protection/>
    </xf>
    <xf numFmtId="166" fontId="5" fillId="0" borderId="75" xfId="0" applyNumberFormat="1" applyFont="1" applyFill="1" applyBorder="1" applyAlignment="1" applyProtection="1">
      <alignment horizontal="left"/>
      <protection/>
    </xf>
    <xf numFmtId="166" fontId="5" fillId="0" borderId="76" xfId="0" applyNumberFormat="1" applyFont="1" applyFill="1" applyBorder="1" applyAlignment="1" applyProtection="1">
      <alignment horizontal="center"/>
      <protection/>
    </xf>
    <xf numFmtId="166" fontId="5" fillId="0" borderId="77" xfId="0" applyNumberFormat="1" applyFont="1" applyFill="1" applyBorder="1" applyAlignment="1" applyProtection="1">
      <alignment horizontal="center"/>
      <protection/>
    </xf>
    <xf numFmtId="0" fontId="5" fillId="0" borderId="74" xfId="0" applyFont="1" applyBorder="1" applyAlignment="1" applyProtection="1" quotePrefix="1">
      <alignment horizontal="left"/>
      <protection/>
    </xf>
    <xf numFmtId="165" fontId="5" fillId="0" borderId="75" xfId="0" applyNumberFormat="1" applyFont="1" applyFill="1" applyBorder="1" applyAlignment="1" applyProtection="1">
      <alignment horizontal="left"/>
      <protection/>
    </xf>
    <xf numFmtId="2" fontId="5" fillId="0" borderId="76" xfId="0" applyNumberFormat="1" applyFont="1" applyFill="1" applyBorder="1" applyAlignment="1" applyProtection="1">
      <alignment horizontal="center"/>
      <protection/>
    </xf>
    <xf numFmtId="2" fontId="5" fillId="0" borderId="75" xfId="0" applyNumberFormat="1" applyFont="1" applyFill="1" applyBorder="1" applyAlignment="1" applyProtection="1">
      <alignment horizontal="center"/>
      <protection/>
    </xf>
    <xf numFmtId="165" fontId="5" fillId="0" borderId="76" xfId="0" applyNumberFormat="1" applyFont="1" applyFill="1" applyBorder="1" applyAlignment="1" applyProtection="1">
      <alignment horizontal="center"/>
      <protection/>
    </xf>
    <xf numFmtId="164" fontId="5" fillId="0" borderId="75" xfId="0" applyNumberFormat="1" applyFont="1" applyFill="1" applyBorder="1" applyAlignment="1" applyProtection="1">
      <alignment horizontal="left"/>
      <protection/>
    </xf>
    <xf numFmtId="164" fontId="5" fillId="0" borderId="76" xfId="0" applyNumberFormat="1" applyFont="1" applyFill="1" applyBorder="1" applyAlignment="1" applyProtection="1">
      <alignment horizontal="center"/>
      <protection/>
    </xf>
    <xf numFmtId="0" fontId="5" fillId="0" borderId="74" xfId="0" applyFont="1" applyFill="1" applyBorder="1" applyAlignment="1" applyProtection="1" quotePrefix="1">
      <alignment horizontal="left"/>
      <protection/>
    </xf>
    <xf numFmtId="0" fontId="5" fillId="0" borderId="76" xfId="0" applyFont="1" applyFill="1" applyBorder="1" applyAlignment="1" applyProtection="1">
      <alignment horizontal="center"/>
      <protection/>
    </xf>
    <xf numFmtId="164" fontId="5" fillId="0" borderId="77" xfId="0" applyNumberFormat="1" applyFont="1" applyFill="1" applyBorder="1" applyAlignment="1" applyProtection="1">
      <alignment horizontal="center"/>
      <protection/>
    </xf>
    <xf numFmtId="164" fontId="5" fillId="0" borderId="75" xfId="0" applyNumberFormat="1" applyFont="1" applyFill="1" applyBorder="1" applyAlignment="1" applyProtection="1">
      <alignment horizontal="center"/>
      <protection/>
    </xf>
    <xf numFmtId="169" fontId="15" fillId="0" borderId="0" xfId="0" applyNumberFormat="1" applyFont="1" applyAlignment="1" applyProtection="1">
      <alignment/>
      <protection/>
    </xf>
    <xf numFmtId="0" fontId="5" fillId="0" borderId="74" xfId="0" applyFont="1" applyFill="1" applyBorder="1" applyAlignment="1" applyProtection="1">
      <alignment/>
      <protection/>
    </xf>
    <xf numFmtId="166" fontId="5" fillId="0" borderId="75" xfId="0" applyNumberFormat="1" applyFont="1" applyFill="1" applyBorder="1" applyAlignment="1" applyProtection="1">
      <alignment horizontal="center"/>
      <protection/>
    </xf>
    <xf numFmtId="0" fontId="5" fillId="0" borderId="73" xfId="0" applyFont="1" applyBorder="1" applyAlignment="1" applyProtection="1" quotePrefix="1">
      <alignment horizontal="left"/>
      <protection/>
    </xf>
    <xf numFmtId="168" fontId="5" fillId="0" borderId="75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5" fillId="0" borderId="74" xfId="0" applyFont="1" applyBorder="1" applyAlignment="1" applyProtection="1" quotePrefix="1">
      <alignment horizontal="center"/>
      <protection/>
    </xf>
    <xf numFmtId="166" fontId="5" fillId="0" borderId="78" xfId="0" applyNumberFormat="1" applyFont="1" applyFill="1" applyBorder="1" applyAlignment="1" applyProtection="1">
      <alignment horizontal="center"/>
      <protection/>
    </xf>
    <xf numFmtId="49" fontId="15" fillId="0" borderId="2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5" fillId="0" borderId="0" xfId="0" applyNumberFormat="1" applyFont="1" applyBorder="1" applyAlignment="1">
      <alignment horizontal="center"/>
    </xf>
    <xf numFmtId="166" fontId="15" fillId="0" borderId="0" xfId="0" applyNumberFormat="1" applyFont="1" applyAlignment="1" applyProtection="1">
      <alignment/>
      <protection/>
    </xf>
    <xf numFmtId="166" fontId="5" fillId="0" borderId="0" xfId="0" applyNumberFormat="1" applyFont="1" applyBorder="1" applyAlignment="1" applyProtection="1">
      <alignment horizontal="center"/>
      <protection/>
    </xf>
    <xf numFmtId="0" fontId="5" fillId="33" borderId="42" xfId="0" applyFont="1" applyFill="1" applyBorder="1" applyAlignment="1" applyProtection="1" quotePrefix="1">
      <alignment horizontal="centerContinuous"/>
      <protection/>
    </xf>
    <xf numFmtId="0" fontId="5" fillId="33" borderId="79" xfId="0" applyFont="1" applyFill="1" applyBorder="1" applyAlignment="1" applyProtection="1" quotePrefix="1">
      <alignment horizontal="centerContinuous"/>
      <protection/>
    </xf>
    <xf numFmtId="0" fontId="5" fillId="33" borderId="79" xfId="0" applyFont="1" applyFill="1" applyBorder="1" applyAlignment="1" applyProtection="1">
      <alignment horizontal="centerContinuous"/>
      <protection/>
    </xf>
    <xf numFmtId="0" fontId="5" fillId="33" borderId="80" xfId="0" applyFont="1" applyFill="1" applyBorder="1" applyAlignment="1" applyProtection="1">
      <alignment horizontal="centerContinuous"/>
      <protection/>
    </xf>
    <xf numFmtId="167" fontId="5" fillId="0" borderId="75" xfId="0" applyNumberFormat="1" applyFont="1" applyFill="1" applyBorder="1" applyAlignment="1" applyProtection="1">
      <alignment horizontal="center"/>
      <protection/>
    </xf>
    <xf numFmtId="165" fontId="5" fillId="0" borderId="75" xfId="0" applyNumberFormat="1" applyFont="1" applyFill="1" applyBorder="1" applyAlignment="1" applyProtection="1">
      <alignment horizontal="center"/>
      <protection/>
    </xf>
    <xf numFmtId="2" fontId="5" fillId="0" borderId="77" xfId="0" applyNumberFormat="1" applyFont="1" applyFill="1" applyBorder="1" applyAlignment="1" applyProtection="1">
      <alignment horizontal="center"/>
      <protection/>
    </xf>
    <xf numFmtId="168" fontId="5" fillId="0" borderId="75" xfId="0" applyNumberFormat="1" applyFont="1" applyFill="1" applyBorder="1" applyAlignment="1" applyProtection="1">
      <alignment horizontal="center"/>
      <protection/>
    </xf>
    <xf numFmtId="168" fontId="5" fillId="0" borderId="77" xfId="0" applyNumberFormat="1" applyFont="1" applyFill="1" applyBorder="1" applyAlignment="1" applyProtection="1">
      <alignment horizontal="center"/>
      <protection/>
    </xf>
    <xf numFmtId="165" fontId="5" fillId="0" borderId="74" xfId="0" applyNumberFormat="1" applyFont="1" applyFill="1" applyBorder="1" applyAlignment="1" applyProtection="1">
      <alignment horizontal="left"/>
      <protection/>
    </xf>
    <xf numFmtId="165" fontId="5" fillId="0" borderId="77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166" fontId="17" fillId="0" borderId="0" xfId="0" applyNumberFormat="1" applyFont="1" applyBorder="1" applyAlignment="1" applyProtection="1">
      <alignment/>
      <protection locked="0"/>
    </xf>
    <xf numFmtId="0" fontId="5" fillId="0" borderId="81" xfId="0" applyFont="1" applyFill="1" applyBorder="1" applyAlignment="1" applyProtection="1">
      <alignment horizontal="left"/>
      <protection/>
    </xf>
    <xf numFmtId="0" fontId="5" fillId="0" borderId="72" xfId="0" applyFont="1" applyFill="1" applyBorder="1" applyAlignment="1" applyProtection="1">
      <alignment/>
      <protection/>
    </xf>
    <xf numFmtId="2" fontId="19" fillId="0" borderId="72" xfId="0" applyNumberFormat="1" applyFont="1" applyFill="1" applyBorder="1" applyAlignment="1" applyProtection="1">
      <alignment horizontal="left"/>
      <protection/>
    </xf>
    <xf numFmtId="0" fontId="5" fillId="0" borderId="72" xfId="0" applyFont="1" applyBorder="1" applyAlignment="1" applyProtection="1">
      <alignment/>
      <protection/>
    </xf>
    <xf numFmtId="0" fontId="5" fillId="0" borderId="82" xfId="0" applyFont="1" applyFill="1" applyBorder="1" applyAlignment="1" applyProtection="1">
      <alignment/>
      <protection/>
    </xf>
    <xf numFmtId="0" fontId="5" fillId="0" borderId="83" xfId="0" applyFont="1" applyBorder="1" applyAlignment="1" applyProtection="1">
      <alignment horizontal="left"/>
      <protection/>
    </xf>
    <xf numFmtId="0" fontId="5" fillId="0" borderId="84" xfId="0" applyFont="1" applyBorder="1" applyAlignment="1" applyProtection="1">
      <alignment/>
      <protection/>
    </xf>
    <xf numFmtId="1" fontId="17" fillId="33" borderId="84" xfId="0" applyNumberFormat="1" applyFont="1" applyFill="1" applyBorder="1" applyAlignment="1" applyProtection="1">
      <alignment horizontal="center"/>
      <protection locked="0"/>
    </xf>
    <xf numFmtId="166" fontId="17" fillId="0" borderId="85" xfId="0" applyNumberFormat="1" applyFont="1" applyBorder="1" applyAlignment="1" applyProtection="1">
      <alignment horizontal="center"/>
      <protection locked="0"/>
    </xf>
    <xf numFmtId="2" fontId="19" fillId="0" borderId="0" xfId="0" applyNumberFormat="1" applyFont="1" applyBorder="1" applyAlignment="1" applyProtection="1">
      <alignment/>
      <protection/>
    </xf>
    <xf numFmtId="0" fontId="5" fillId="0" borderId="86" xfId="0" applyFont="1" applyFill="1" applyBorder="1" applyAlignment="1" applyProtection="1" quotePrefix="1">
      <alignment horizontal="left"/>
      <protection/>
    </xf>
    <xf numFmtId="0" fontId="5" fillId="0" borderId="87" xfId="0" applyFont="1" applyFill="1" applyBorder="1" applyAlignment="1" applyProtection="1">
      <alignment/>
      <protection/>
    </xf>
    <xf numFmtId="2" fontId="19" fillId="0" borderId="87" xfId="0" applyNumberFormat="1" applyFont="1" applyFill="1" applyBorder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/>
      <protection/>
    </xf>
    <xf numFmtId="0" fontId="5" fillId="0" borderId="89" xfId="0" applyFont="1" applyBorder="1" applyAlignment="1" applyProtection="1">
      <alignment/>
      <protection/>
    </xf>
    <xf numFmtId="0" fontId="5" fillId="0" borderId="87" xfId="0" applyFont="1" applyBorder="1" applyAlignment="1" applyProtection="1">
      <alignment/>
      <protection/>
    </xf>
    <xf numFmtId="166" fontId="17" fillId="33" borderId="87" xfId="0" applyNumberFormat="1" applyFont="1" applyFill="1" applyBorder="1" applyAlignment="1" applyProtection="1">
      <alignment horizontal="center"/>
      <protection locked="0"/>
    </xf>
    <xf numFmtId="164" fontId="17" fillId="0" borderId="88" xfId="0" applyNumberFormat="1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/>
      <protection locked="0"/>
    </xf>
    <xf numFmtId="0" fontId="5" fillId="38" borderId="77" xfId="0" applyFont="1" applyFill="1" applyBorder="1" applyAlignment="1" applyProtection="1">
      <alignment horizontal="centerContinuous"/>
      <protection/>
    </xf>
    <xf numFmtId="0" fontId="5" fillId="38" borderId="90" xfId="0" applyFont="1" applyFill="1" applyBorder="1" applyAlignment="1" applyProtection="1">
      <alignment horizontal="centerContinuous"/>
      <protection/>
    </xf>
    <xf numFmtId="0" fontId="5" fillId="38" borderId="78" xfId="0" applyFont="1" applyFill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166" fontId="5" fillId="39" borderId="14" xfId="0" applyNumberFormat="1" applyFont="1" applyFill="1" applyBorder="1" applyAlignment="1" applyProtection="1">
      <alignment horizontal="center"/>
      <protection/>
    </xf>
    <xf numFmtId="0" fontId="5" fillId="39" borderId="54" xfId="0" applyFont="1" applyFill="1" applyBorder="1" applyAlignment="1" applyProtection="1">
      <alignment horizontal="center"/>
      <protection/>
    </xf>
    <xf numFmtId="0" fontId="5" fillId="39" borderId="14" xfId="0" applyFont="1" applyFill="1" applyBorder="1" applyAlignment="1" applyProtection="1">
      <alignment horizontal="center"/>
      <protection/>
    </xf>
    <xf numFmtId="0" fontId="5" fillId="39" borderId="91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2" fontId="5" fillId="39" borderId="0" xfId="0" applyNumberFormat="1" applyFont="1" applyFill="1" applyBorder="1" applyAlignment="1" applyProtection="1">
      <alignment horizontal="center"/>
      <protection/>
    </xf>
    <xf numFmtId="164" fontId="5" fillId="39" borderId="14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/>
    </xf>
    <xf numFmtId="165" fontId="5" fillId="39" borderId="14" xfId="0" applyNumberFormat="1" applyFont="1" applyFill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92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164" fontId="5" fillId="0" borderId="40" xfId="0" applyNumberFormat="1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 quotePrefix="1">
      <alignment horizontal="left"/>
      <protection/>
    </xf>
    <xf numFmtId="166" fontId="5" fillId="0" borderId="0" xfId="0" applyNumberFormat="1" applyFont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left"/>
      <protection/>
    </xf>
    <xf numFmtId="0" fontId="5" fillId="0" borderId="45" xfId="0" applyFont="1" applyFill="1" applyBorder="1" applyAlignment="1" applyProtection="1">
      <alignment/>
      <protection/>
    </xf>
    <xf numFmtId="2" fontId="5" fillId="0" borderId="45" xfId="0" applyNumberFormat="1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/>
      <protection/>
    </xf>
    <xf numFmtId="0" fontId="5" fillId="0" borderId="81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82" xfId="0" applyFont="1" applyBorder="1" applyAlignment="1" applyProtection="1">
      <alignment/>
      <protection/>
    </xf>
    <xf numFmtId="0" fontId="5" fillId="0" borderId="94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left"/>
      <protection/>
    </xf>
    <xf numFmtId="0" fontId="5" fillId="0" borderId="9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86" xfId="0" applyFont="1" applyBorder="1" applyAlignment="1" applyProtection="1">
      <alignment horizontal="center"/>
      <protection/>
    </xf>
    <xf numFmtId="0" fontId="5" fillId="0" borderId="88" xfId="0" applyFont="1" applyBorder="1" applyAlignment="1" applyProtection="1">
      <alignment/>
      <protection/>
    </xf>
    <xf numFmtId="0" fontId="6" fillId="2" borderId="25" xfId="0" applyFont="1" applyFill="1" applyBorder="1" applyAlignment="1">
      <alignment horizontal="left"/>
    </xf>
    <xf numFmtId="0" fontId="5" fillId="2" borderId="68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2" borderId="25" xfId="0" applyFont="1" applyFill="1" applyBorder="1" applyAlignment="1" quotePrefix="1">
      <alignment horizontal="left"/>
    </xf>
    <xf numFmtId="0" fontId="5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9" borderId="68" xfId="0" applyFont="1" applyFill="1" applyBorder="1" applyAlignment="1" quotePrefix="1">
      <alignment horizontal="center"/>
    </xf>
    <xf numFmtId="0" fontId="5" fillId="39" borderId="68" xfId="0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166" fontId="5" fillId="0" borderId="0" xfId="0" applyNumberFormat="1" applyFont="1" applyBorder="1" applyAlignment="1">
      <alignment horizontal="left"/>
    </xf>
    <xf numFmtId="169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6" fillId="2" borderId="68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22" fillId="39" borderId="54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Alignment="1" quotePrefix="1">
      <alignment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00" fillId="0" borderId="0" xfId="0" applyFont="1" applyAlignment="1">
      <alignment/>
    </xf>
    <xf numFmtId="0" fontId="100" fillId="0" borderId="96" xfId="0" applyFont="1" applyBorder="1" applyAlignment="1">
      <alignment/>
    </xf>
    <xf numFmtId="0" fontId="100" fillId="0" borderId="97" xfId="0" applyFont="1" applyBorder="1" applyAlignment="1">
      <alignment/>
    </xf>
    <xf numFmtId="0" fontId="100" fillId="0" borderId="98" xfId="0" applyFont="1" applyBorder="1" applyAlignment="1">
      <alignment/>
    </xf>
    <xf numFmtId="0" fontId="100" fillId="0" borderId="99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100" xfId="0" applyFont="1" applyBorder="1" applyAlignment="1">
      <alignment/>
    </xf>
    <xf numFmtId="0" fontId="100" fillId="0" borderId="0" xfId="0" applyFont="1" applyBorder="1" applyAlignment="1">
      <alignment horizontal="center"/>
    </xf>
    <xf numFmtId="165" fontId="100" fillId="0" borderId="0" xfId="0" applyNumberFormat="1" applyFont="1" applyBorder="1" applyAlignment="1">
      <alignment horizontal="center"/>
    </xf>
    <xf numFmtId="2" fontId="100" fillId="0" borderId="0" xfId="0" applyNumberFormat="1" applyFont="1" applyBorder="1" applyAlignment="1">
      <alignment horizontal="center"/>
    </xf>
    <xf numFmtId="168" fontId="100" fillId="40" borderId="101" xfId="0" applyNumberFormat="1" applyFont="1" applyFill="1" applyBorder="1" applyAlignment="1">
      <alignment horizontal="center"/>
    </xf>
    <xf numFmtId="2" fontId="100" fillId="40" borderId="101" xfId="0" applyNumberFormat="1" applyFont="1" applyFill="1" applyBorder="1" applyAlignment="1">
      <alignment horizontal="center"/>
    </xf>
    <xf numFmtId="166" fontId="100" fillId="0" borderId="0" xfId="0" applyNumberFormat="1" applyFont="1" applyBorder="1" applyAlignment="1">
      <alignment horizontal="center"/>
    </xf>
    <xf numFmtId="166" fontId="100" fillId="40" borderId="101" xfId="0" applyNumberFormat="1" applyFont="1" applyFill="1" applyBorder="1" applyAlignment="1">
      <alignment horizontal="center"/>
    </xf>
    <xf numFmtId="0" fontId="100" fillId="41" borderId="101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168" fontId="100" fillId="0" borderId="0" xfId="0" applyNumberFormat="1" applyFont="1" applyBorder="1" applyAlignment="1">
      <alignment horizontal="center"/>
    </xf>
    <xf numFmtId="3" fontId="100" fillId="0" borderId="0" xfId="0" applyNumberFormat="1" applyFont="1" applyBorder="1" applyAlignment="1">
      <alignment horizontal="center"/>
    </xf>
    <xf numFmtId="164" fontId="100" fillId="40" borderId="101" xfId="0" applyNumberFormat="1" applyFont="1" applyFill="1" applyBorder="1" applyAlignment="1">
      <alignment horizontal="center"/>
    </xf>
    <xf numFmtId="0" fontId="101" fillId="0" borderId="0" xfId="0" applyFont="1" applyBorder="1" applyAlignment="1">
      <alignment/>
    </xf>
    <xf numFmtId="164" fontId="100" fillId="0" borderId="0" xfId="0" applyNumberFormat="1" applyFont="1" applyBorder="1" applyAlignment="1">
      <alignment horizontal="center"/>
    </xf>
    <xf numFmtId="11" fontId="100" fillId="0" borderId="0" xfId="0" applyNumberFormat="1" applyFont="1" applyBorder="1" applyAlignment="1">
      <alignment horizontal="center"/>
    </xf>
    <xf numFmtId="168" fontId="100" fillId="0" borderId="0" xfId="0" applyNumberFormat="1" applyFont="1" applyBorder="1" applyAlignment="1">
      <alignment/>
    </xf>
    <xf numFmtId="11" fontId="100" fillId="0" borderId="0" xfId="0" applyNumberFormat="1" applyFont="1" applyBorder="1" applyAlignment="1">
      <alignment/>
    </xf>
    <xf numFmtId="165" fontId="100" fillId="40" borderId="101" xfId="0" applyNumberFormat="1" applyFont="1" applyFill="1" applyBorder="1" applyAlignment="1">
      <alignment horizontal="center"/>
    </xf>
    <xf numFmtId="0" fontId="100" fillId="0" borderId="102" xfId="0" applyFont="1" applyBorder="1" applyAlignment="1">
      <alignment/>
    </xf>
    <xf numFmtId="0" fontId="100" fillId="0" borderId="103" xfId="0" applyFont="1" applyBorder="1" applyAlignment="1">
      <alignment/>
    </xf>
    <xf numFmtId="0" fontId="100" fillId="0" borderId="104" xfId="0" applyFont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 applyProtection="1">
      <alignment horizontal="right"/>
      <protection/>
    </xf>
    <xf numFmtId="0" fontId="104" fillId="0" borderId="0" xfId="0" applyFont="1" applyAlignment="1">
      <alignment horizontal="right"/>
    </xf>
    <xf numFmtId="166" fontId="0" fillId="4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9" xfId="0" applyBorder="1" applyAlignment="1">
      <alignment horizontal="center"/>
    </xf>
    <xf numFmtId="0" fontId="0" fillId="0" borderId="99" xfId="0" applyBorder="1" applyAlignment="1">
      <alignment/>
    </xf>
    <xf numFmtId="0" fontId="2" fillId="0" borderId="99" xfId="0" applyFont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99" xfId="0" applyBorder="1" applyAlignment="1">
      <alignment horizontal="left"/>
    </xf>
    <xf numFmtId="0" fontId="0" fillId="0" borderId="102" xfId="0" applyBorder="1" applyAlignment="1">
      <alignment horizontal="center"/>
    </xf>
    <xf numFmtId="168" fontId="0" fillId="0" borderId="103" xfId="0" applyNumberFormat="1" applyBorder="1" applyAlignment="1">
      <alignment horizontal="left"/>
    </xf>
    <xf numFmtId="168" fontId="0" fillId="0" borderId="103" xfId="0" applyNumberFormat="1" applyBorder="1" applyAlignment="1">
      <alignment horizontal="center"/>
    </xf>
    <xf numFmtId="0" fontId="0" fillId="0" borderId="100" xfId="0" applyBorder="1" applyAlignment="1">
      <alignment/>
    </xf>
    <xf numFmtId="0" fontId="0" fillId="0" borderId="100" xfId="0" applyFill="1" applyBorder="1" applyAlignment="1">
      <alignment/>
    </xf>
    <xf numFmtId="0" fontId="0" fillId="0" borderId="104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0" xfId="0" applyBorder="1" applyAlignment="1">
      <alignment horizontal="center"/>
    </xf>
    <xf numFmtId="0" fontId="0" fillId="0" borderId="100" xfId="0" applyBorder="1" applyAlignment="1">
      <alignment horizontal="left"/>
    </xf>
    <xf numFmtId="0" fontId="5" fillId="0" borderId="99" xfId="0" applyFont="1" applyBorder="1" applyAlignment="1">
      <alignment horizontal="center"/>
    </xf>
    <xf numFmtId="0" fontId="10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2" fillId="0" borderId="99" xfId="0" applyFont="1" applyFill="1" applyBorder="1" applyAlignment="1">
      <alignment horizontal="center"/>
    </xf>
    <xf numFmtId="0" fontId="106" fillId="0" borderId="0" xfId="0" applyFont="1" applyBorder="1" applyAlignment="1">
      <alignment/>
    </xf>
    <xf numFmtId="0" fontId="11" fillId="33" borderId="101" xfId="0" applyFont="1" applyFill="1" applyBorder="1" applyAlignment="1">
      <alignment horizontal="center"/>
    </xf>
    <xf numFmtId="0" fontId="11" fillId="33" borderId="105" xfId="0" applyFont="1" applyFill="1" applyBorder="1" applyAlignment="1">
      <alignment horizontal="center"/>
    </xf>
    <xf numFmtId="0" fontId="5" fillId="0" borderId="106" xfId="0" applyFont="1" applyBorder="1" applyAlignment="1" quotePrefix="1">
      <alignment horizontal="left"/>
    </xf>
    <xf numFmtId="0" fontId="5" fillId="0" borderId="106" xfId="0" applyFont="1" applyBorder="1" applyAlignment="1">
      <alignment/>
    </xf>
    <xf numFmtId="0" fontId="5" fillId="0" borderId="107" xfId="0" applyFont="1" applyBorder="1" applyAlignment="1">
      <alignment/>
    </xf>
    <xf numFmtId="0" fontId="2" fillId="0" borderId="108" xfId="0" applyFont="1" applyBorder="1" applyAlignment="1">
      <alignment horizontal="center"/>
    </xf>
    <xf numFmtId="0" fontId="5" fillId="0" borderId="109" xfId="0" applyFont="1" applyBorder="1" applyAlignment="1" quotePrefix="1">
      <alignment horizontal="left"/>
    </xf>
    <xf numFmtId="0" fontId="5" fillId="0" borderId="109" xfId="0" applyFont="1" applyBorder="1" applyAlignment="1">
      <alignment/>
    </xf>
    <xf numFmtId="0" fontId="5" fillId="0" borderId="110" xfId="0" applyFont="1" applyBorder="1" applyAlignment="1" quotePrefix="1">
      <alignment horizontal="left"/>
    </xf>
    <xf numFmtId="0" fontId="11" fillId="33" borderId="111" xfId="0" applyFont="1" applyFill="1" applyBorder="1" applyAlignment="1">
      <alignment horizontal="center"/>
    </xf>
    <xf numFmtId="0" fontId="6" fillId="0" borderId="112" xfId="0" applyFont="1" applyFill="1" applyBorder="1" applyAlignment="1">
      <alignment/>
    </xf>
    <xf numFmtId="0" fontId="6" fillId="0" borderId="113" xfId="0" applyFont="1" applyFill="1" applyBorder="1" applyAlignment="1">
      <alignment/>
    </xf>
    <xf numFmtId="0" fontId="5" fillId="0" borderId="113" xfId="0" applyFont="1" applyFill="1" applyBorder="1" applyAlignment="1">
      <alignment/>
    </xf>
    <xf numFmtId="0" fontId="5" fillId="0" borderId="114" xfId="0" applyFont="1" applyFill="1" applyBorder="1" applyAlignment="1">
      <alignment/>
    </xf>
    <xf numFmtId="166" fontId="107" fillId="0" borderId="0" xfId="0" applyNumberFormat="1" applyFont="1" applyAlignment="1" applyProtection="1">
      <alignment horizontal="left"/>
      <protection/>
    </xf>
    <xf numFmtId="0" fontId="106" fillId="0" borderId="0" xfId="0" applyFont="1" applyAlignment="1">
      <alignment/>
    </xf>
    <xf numFmtId="0" fontId="0" fillId="0" borderId="0" xfId="0" applyFill="1" applyAlignment="1">
      <alignment vertical="center"/>
    </xf>
    <xf numFmtId="0" fontId="108" fillId="0" borderId="0" xfId="0" applyFont="1" applyFill="1" applyAlignment="1">
      <alignment horizontal="right" vertical="center"/>
    </xf>
    <xf numFmtId="0" fontId="109" fillId="0" borderId="0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10" fillId="0" borderId="0" xfId="0" applyFont="1" applyAlignment="1">
      <alignment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4" xfId="0" applyBorder="1" applyAlignment="1">
      <alignment vertical="center"/>
    </xf>
    <xf numFmtId="0" fontId="109" fillId="0" borderId="0" xfId="0" applyFont="1" applyBorder="1" applyAlignment="1">
      <alignment horizontal="center" vertical="center"/>
    </xf>
    <xf numFmtId="0" fontId="110" fillId="0" borderId="99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5" fillId="0" borderId="103" xfId="0" applyFont="1" applyBorder="1" applyAlignment="1">
      <alignment vertical="center"/>
    </xf>
    <xf numFmtId="0" fontId="110" fillId="0" borderId="100" xfId="0" applyFont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/>
    </xf>
    <xf numFmtId="0" fontId="111" fillId="0" borderId="0" xfId="0" applyFont="1" applyBorder="1" applyAlignment="1">
      <alignment/>
    </xf>
    <xf numFmtId="0" fontId="102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115" xfId="0" applyBorder="1" applyAlignment="1">
      <alignment/>
    </xf>
    <xf numFmtId="0" fontId="0" fillId="0" borderId="108" xfId="0" applyBorder="1" applyAlignment="1">
      <alignment/>
    </xf>
    <xf numFmtId="0" fontId="0" fillId="42" borderId="115" xfId="0" applyFill="1" applyBorder="1" applyAlignment="1">
      <alignment/>
    </xf>
    <xf numFmtId="0" fontId="0" fillId="42" borderId="0" xfId="0" applyFill="1" applyBorder="1" applyAlignment="1">
      <alignment/>
    </xf>
    <xf numFmtId="0" fontId="0" fillId="0" borderId="116" xfId="0" applyBorder="1" applyAlignment="1">
      <alignment/>
    </xf>
    <xf numFmtId="0" fontId="0" fillId="42" borderId="117" xfId="0" applyFill="1" applyBorder="1" applyAlignment="1">
      <alignment/>
    </xf>
    <xf numFmtId="0" fontId="0" fillId="0" borderId="109" xfId="0" applyBorder="1" applyAlignment="1">
      <alignment/>
    </xf>
    <xf numFmtId="0" fontId="0" fillId="42" borderId="109" xfId="0" applyFill="1" applyBorder="1" applyAlignment="1">
      <alignment/>
    </xf>
    <xf numFmtId="0" fontId="0" fillId="0" borderId="108" xfId="0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8" xfId="0" applyFill="1" applyBorder="1" applyAlignment="1">
      <alignment/>
    </xf>
    <xf numFmtId="0" fontId="0" fillId="0" borderId="99" xfId="0" applyFill="1" applyBorder="1" applyAlignment="1">
      <alignment/>
    </xf>
    <xf numFmtId="0" fontId="0" fillId="42" borderId="99" xfId="0" applyFill="1" applyBorder="1" applyAlignment="1">
      <alignment/>
    </xf>
    <xf numFmtId="0" fontId="0" fillId="0" borderId="119" xfId="0" applyBorder="1" applyAlignment="1">
      <alignment/>
    </xf>
    <xf numFmtId="0" fontId="106" fillId="0" borderId="96" xfId="0" applyFont="1" applyBorder="1" applyAlignment="1">
      <alignment/>
    </xf>
    <xf numFmtId="0" fontId="0" fillId="0" borderId="97" xfId="0" applyBorder="1" applyAlignment="1">
      <alignment/>
    </xf>
    <xf numFmtId="0" fontId="0" fillId="0" borderId="120" xfId="0" applyBorder="1" applyAlignment="1">
      <alignment/>
    </xf>
    <xf numFmtId="0" fontId="0" fillId="0" borderId="103" xfId="0" applyBorder="1" applyAlignment="1">
      <alignment horizontal="center"/>
    </xf>
    <xf numFmtId="0" fontId="0" fillId="0" borderId="98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42" borderId="100" xfId="0" applyFill="1" applyBorder="1" applyAlignment="1">
      <alignment/>
    </xf>
    <xf numFmtId="0" fontId="0" fillId="42" borderId="100" xfId="0" applyFill="1" applyBorder="1" applyAlignment="1">
      <alignment horizontal="center"/>
    </xf>
    <xf numFmtId="0" fontId="0" fillId="0" borderId="10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4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3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2" fontId="0" fillId="42" borderId="0" xfId="0" applyNumberFormat="1" applyFill="1" applyBorder="1" applyAlignment="1">
      <alignment horizontal="center"/>
    </xf>
    <xf numFmtId="2" fontId="0" fillId="42" borderId="100" xfId="0" applyNumberFormat="1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5" fillId="40" borderId="101" xfId="0" applyNumberFormat="1" applyFont="1" applyFill="1" applyBorder="1" applyAlignment="1">
      <alignment horizontal="center" vertical="center"/>
    </xf>
    <xf numFmtId="166" fontId="0" fillId="40" borderId="101" xfId="0" applyNumberFormat="1" applyFill="1" applyBorder="1" applyAlignment="1">
      <alignment horizontal="center"/>
    </xf>
    <xf numFmtId="2" fontId="2" fillId="40" borderId="101" xfId="0" applyNumberFormat="1" applyFont="1" applyFill="1" applyBorder="1" applyAlignment="1">
      <alignment horizontal="center" vertical="center"/>
    </xf>
    <xf numFmtId="0" fontId="0" fillId="41" borderId="101" xfId="0" applyFill="1" applyBorder="1" applyAlignment="1">
      <alignment horizontal="center" vertical="center"/>
    </xf>
    <xf numFmtId="3" fontId="0" fillId="41" borderId="101" xfId="0" applyNumberFormat="1" applyFill="1" applyBorder="1" applyAlignment="1">
      <alignment horizontal="center"/>
    </xf>
    <xf numFmtId="0" fontId="0" fillId="41" borderId="101" xfId="0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12" fillId="43" borderId="96" xfId="0" applyFont="1" applyFill="1" applyBorder="1" applyAlignment="1">
      <alignment/>
    </xf>
    <xf numFmtId="0" fontId="0" fillId="43" borderId="97" xfId="0" applyFill="1" applyBorder="1" applyAlignment="1">
      <alignment/>
    </xf>
    <xf numFmtId="0" fontId="0" fillId="43" borderId="98" xfId="0" applyFill="1" applyBorder="1" applyAlignment="1">
      <alignment/>
    </xf>
    <xf numFmtId="0" fontId="5" fillId="0" borderId="99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102" xfId="0" applyFont="1" applyBorder="1" applyAlignment="1">
      <alignment/>
    </xf>
    <xf numFmtId="0" fontId="5" fillId="0" borderId="103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104" xfId="0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97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17" fillId="33" borderId="101" xfId="0" applyFont="1" applyFill="1" applyBorder="1" applyAlignment="1">
      <alignment horizontal="center"/>
    </xf>
    <xf numFmtId="166" fontId="17" fillId="33" borderId="101" xfId="0" applyNumberFormat="1" applyFont="1" applyFill="1" applyBorder="1" applyAlignment="1">
      <alignment horizontal="center"/>
    </xf>
    <xf numFmtId="0" fontId="17" fillId="33" borderId="123" xfId="0" applyFont="1" applyFill="1" applyBorder="1" applyAlignment="1">
      <alignment horizontal="center"/>
    </xf>
    <xf numFmtId="0" fontId="5" fillId="0" borderId="106" xfId="0" applyFont="1" applyBorder="1" applyAlignment="1">
      <alignment horizontal="left"/>
    </xf>
    <xf numFmtId="0" fontId="5" fillId="0" borderId="108" xfId="0" applyFont="1" applyBorder="1" applyAlignment="1">
      <alignment horizontal="center"/>
    </xf>
    <xf numFmtId="0" fontId="113" fillId="39" borderId="25" xfId="0" applyFont="1" applyFill="1" applyBorder="1" applyAlignment="1" quotePrefix="1">
      <alignment horizontal="left"/>
    </xf>
    <xf numFmtId="167" fontId="100" fillId="40" borderId="101" xfId="0" applyNumberFormat="1" applyFont="1" applyFill="1" applyBorder="1" applyAlignment="1">
      <alignment horizontal="center"/>
    </xf>
    <xf numFmtId="3" fontId="100" fillId="40" borderId="101" xfId="0" applyNumberFormat="1" applyFont="1" applyFill="1" applyBorder="1" applyAlignment="1">
      <alignment horizontal="center"/>
    </xf>
    <xf numFmtId="0" fontId="89" fillId="0" borderId="0" xfId="52" applyAlignment="1">
      <alignment/>
    </xf>
    <xf numFmtId="0" fontId="5" fillId="0" borderId="115" xfId="0" applyFont="1" applyBorder="1" applyAlignment="1">
      <alignment horizontal="center"/>
    </xf>
    <xf numFmtId="166" fontId="5" fillId="0" borderId="115" xfId="0" applyNumberFormat="1" applyFont="1" applyBorder="1" applyAlignment="1">
      <alignment/>
    </xf>
    <xf numFmtId="166" fontId="5" fillId="0" borderId="115" xfId="0" applyNumberFormat="1" applyFont="1" applyBorder="1" applyAlignment="1">
      <alignment horizontal="center"/>
    </xf>
    <xf numFmtId="0" fontId="6" fillId="39" borderId="124" xfId="0" applyFont="1" applyFill="1" applyBorder="1" applyAlignment="1" quotePrefix="1">
      <alignment horizontal="left"/>
    </xf>
    <xf numFmtId="0" fontId="6" fillId="39" borderId="115" xfId="0" applyFont="1" applyFill="1" applyBorder="1" applyAlignment="1" quotePrefix="1">
      <alignment horizontal="center"/>
    </xf>
    <xf numFmtId="0" fontId="5" fillId="39" borderId="115" xfId="0" applyFont="1" applyFill="1" applyBorder="1" applyAlignment="1">
      <alignment/>
    </xf>
    <xf numFmtId="0" fontId="5" fillId="39" borderId="117" xfId="0" applyFont="1" applyFill="1" applyBorder="1" applyAlignment="1">
      <alignment/>
    </xf>
    <xf numFmtId="0" fontId="5" fillId="0" borderId="124" xfId="0" applyFont="1" applyBorder="1" applyAlignment="1">
      <alignment/>
    </xf>
    <xf numFmtId="165" fontId="5" fillId="0" borderId="108" xfId="0" applyNumberFormat="1" applyFont="1" applyBorder="1" applyAlignment="1">
      <alignment horizontal="left"/>
    </xf>
    <xf numFmtId="2" fontId="5" fillId="0" borderId="108" xfId="0" applyNumberFormat="1" applyFont="1" applyFill="1" applyBorder="1" applyAlignment="1">
      <alignment horizontal="center"/>
    </xf>
    <xf numFmtId="0" fontId="5" fillId="0" borderId="117" xfId="0" applyFont="1" applyBorder="1" applyAlignment="1">
      <alignment/>
    </xf>
    <xf numFmtId="0" fontId="5" fillId="0" borderId="110" xfId="0" applyFont="1" applyBorder="1" applyAlignment="1">
      <alignment/>
    </xf>
    <xf numFmtId="0" fontId="5" fillId="2" borderId="107" xfId="0" applyFont="1" applyFill="1" applyBorder="1" applyAlignment="1" quotePrefix="1">
      <alignment horizontal="left"/>
    </xf>
    <xf numFmtId="0" fontId="6" fillId="2" borderId="108" xfId="0" applyFont="1" applyFill="1" applyBorder="1" applyAlignment="1" quotePrefix="1">
      <alignment horizontal="left"/>
    </xf>
    <xf numFmtId="0" fontId="5" fillId="2" borderId="108" xfId="0" applyFont="1" applyFill="1" applyBorder="1" applyAlignment="1">
      <alignment/>
    </xf>
    <xf numFmtId="0" fontId="5" fillId="2" borderId="110" xfId="0" applyFont="1" applyFill="1" applyBorder="1" applyAlignment="1">
      <alignment/>
    </xf>
    <xf numFmtId="0" fontId="6" fillId="2" borderId="124" xfId="0" applyFont="1" applyFill="1" applyBorder="1" applyAlignment="1">
      <alignment horizontal="left"/>
    </xf>
    <xf numFmtId="0" fontId="6" fillId="2" borderId="115" xfId="0" applyFont="1" applyFill="1" applyBorder="1" applyAlignment="1" quotePrefix="1">
      <alignment horizontal="left"/>
    </xf>
    <xf numFmtId="0" fontId="5" fillId="2" borderId="115" xfId="0" applyFont="1" applyFill="1" applyBorder="1" applyAlignment="1">
      <alignment/>
    </xf>
    <xf numFmtId="0" fontId="5" fillId="2" borderId="117" xfId="0" applyFont="1" applyFill="1" applyBorder="1" applyAlignment="1">
      <alignment/>
    </xf>
    <xf numFmtId="0" fontId="100" fillId="0" borderId="0" xfId="0" applyFont="1" applyBorder="1" applyAlignment="1">
      <alignment horizontal="center"/>
    </xf>
    <xf numFmtId="0" fontId="113" fillId="0" borderId="0" xfId="0" applyFont="1" applyAlignment="1">
      <alignment/>
    </xf>
    <xf numFmtId="0" fontId="51" fillId="0" borderId="0" xfId="0" applyFont="1" applyAlignment="1">
      <alignment vertical="center"/>
    </xf>
    <xf numFmtId="0" fontId="89" fillId="0" borderId="0" xfId="52" applyAlignment="1" applyProtection="1">
      <alignment vertical="center"/>
      <protection/>
    </xf>
    <xf numFmtId="0" fontId="111" fillId="0" borderId="0" xfId="0" applyFont="1" applyAlignment="1">
      <alignment/>
    </xf>
    <xf numFmtId="0" fontId="0" fillId="0" borderId="9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0" fontId="6" fillId="0" borderId="124" xfId="0" applyFont="1" applyBorder="1" applyAlignment="1">
      <alignment/>
    </xf>
    <xf numFmtId="0" fontId="5" fillId="0" borderId="115" xfId="0" applyFont="1" applyBorder="1" applyAlignment="1">
      <alignment/>
    </xf>
    <xf numFmtId="0" fontId="5" fillId="0" borderId="107" xfId="0" applyFont="1" applyBorder="1" applyAlignment="1" quotePrefix="1">
      <alignment horizontal="left"/>
    </xf>
    <xf numFmtId="0" fontId="5" fillId="0" borderId="108" xfId="0" applyFont="1" applyBorder="1" applyAlignment="1">
      <alignment/>
    </xf>
    <xf numFmtId="0" fontId="5" fillId="0" borderId="109" xfId="0" applyFont="1" applyBorder="1" applyAlignment="1">
      <alignment horizontal="left"/>
    </xf>
    <xf numFmtId="170" fontId="5" fillId="0" borderId="109" xfId="0" applyNumberFormat="1" applyFont="1" applyBorder="1" applyAlignment="1">
      <alignment/>
    </xf>
    <xf numFmtId="170" fontId="5" fillId="0" borderId="110" xfId="0" applyNumberFormat="1" applyFont="1" applyBorder="1" applyAlignment="1">
      <alignment/>
    </xf>
    <xf numFmtId="0" fontId="5" fillId="0" borderId="106" xfId="0" applyFont="1" applyFill="1" applyBorder="1" applyAlignment="1" quotePrefix="1">
      <alignment horizontal="left"/>
    </xf>
    <xf numFmtId="0" fontId="5" fillId="0" borderId="106" xfId="0" applyFont="1" applyFill="1" applyBorder="1" applyAlignment="1">
      <alignment/>
    </xf>
    <xf numFmtId="0" fontId="6" fillId="0" borderId="124" xfId="0" applyFont="1" applyFill="1" applyBorder="1" applyAlignment="1" quotePrefix="1">
      <alignment horizontal="left"/>
    </xf>
    <xf numFmtId="0" fontId="20" fillId="0" borderId="115" xfId="0" applyFont="1" applyFill="1" applyBorder="1" applyAlignment="1" quotePrefix="1">
      <alignment horizontal="center"/>
    </xf>
    <xf numFmtId="0" fontId="5" fillId="0" borderId="115" xfId="0" applyFont="1" applyFill="1" applyBorder="1" applyAlignment="1">
      <alignment/>
    </xf>
    <xf numFmtId="0" fontId="5" fillId="0" borderId="108" xfId="0" applyFont="1" applyFill="1" applyBorder="1" applyAlignment="1">
      <alignment horizontal="center"/>
    </xf>
    <xf numFmtId="0" fontId="5" fillId="0" borderId="108" xfId="0" applyFont="1" applyFill="1" applyBorder="1" applyAlignment="1">
      <alignment/>
    </xf>
    <xf numFmtId="166" fontId="5" fillId="0" borderId="108" xfId="0" applyNumberFormat="1" applyFont="1" applyFill="1" applyBorder="1" applyAlignment="1">
      <alignment horizontal="center"/>
    </xf>
    <xf numFmtId="0" fontId="5" fillId="0" borderId="109" xfId="0" applyFont="1" applyFill="1" applyBorder="1" applyAlignment="1">
      <alignment/>
    </xf>
    <xf numFmtId="0" fontId="7" fillId="0" borderId="106" xfId="0" applyFont="1" applyBorder="1" applyAlignment="1">
      <alignment/>
    </xf>
    <xf numFmtId="3" fontId="5" fillId="0" borderId="101" xfId="0" applyNumberFormat="1" applyFont="1" applyBorder="1" applyAlignment="1">
      <alignment horizontal="center"/>
    </xf>
    <xf numFmtId="2" fontId="5" fillId="0" borderId="101" xfId="0" applyNumberFormat="1" applyFont="1" applyBorder="1" applyAlignment="1">
      <alignment horizontal="center"/>
    </xf>
    <xf numFmtId="1" fontId="5" fillId="0" borderId="101" xfId="0" applyNumberFormat="1" applyFont="1" applyBorder="1" applyAlignment="1">
      <alignment horizontal="center"/>
    </xf>
    <xf numFmtId="170" fontId="5" fillId="0" borderId="101" xfId="0" applyNumberFormat="1" applyFont="1" applyBorder="1" applyAlignment="1">
      <alignment horizontal="center"/>
    </xf>
    <xf numFmtId="166" fontId="5" fillId="0" borderId="101" xfId="0" applyNumberFormat="1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166" fontId="5" fillId="0" borderId="101" xfId="0" applyNumberFormat="1" applyFont="1" applyFill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06" xfId="0" applyFont="1" applyBorder="1" applyAlignment="1" quotePrefix="1">
      <alignment horizontal="left" vertical="center"/>
    </xf>
    <xf numFmtId="0" fontId="2" fillId="0" borderId="108" xfId="0" applyFont="1" applyBorder="1" applyAlignment="1">
      <alignment horizontal="left"/>
    </xf>
    <xf numFmtId="0" fontId="5" fillId="0" borderId="110" xfId="0" applyFont="1" applyBorder="1" applyAlignment="1">
      <alignment horizontal="left"/>
    </xf>
    <xf numFmtId="1" fontId="5" fillId="0" borderId="101" xfId="0" applyNumberFormat="1" applyFont="1" applyFill="1" applyBorder="1" applyAlignment="1">
      <alignment horizontal="center"/>
    </xf>
    <xf numFmtId="0" fontId="5" fillId="0" borderId="108" xfId="0" applyFont="1" applyBorder="1" applyAlignment="1">
      <alignment horizontal="left"/>
    </xf>
    <xf numFmtId="0" fontId="5" fillId="0" borderId="115" xfId="0" applyFont="1" applyBorder="1" applyAlignment="1">
      <alignment horizontal="left"/>
    </xf>
    <xf numFmtId="164" fontId="5" fillId="40" borderId="108" xfId="0" applyNumberFormat="1" applyFont="1" applyFill="1" applyBorder="1" applyAlignment="1">
      <alignment horizontal="center"/>
    </xf>
    <xf numFmtId="164" fontId="5" fillId="4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166" fontId="5" fillId="0" borderId="115" xfId="0" applyNumberFormat="1" applyFont="1" applyFill="1" applyBorder="1" applyAlignment="1">
      <alignment horizontal="center"/>
    </xf>
    <xf numFmtId="166" fontId="5" fillId="40" borderId="108" xfId="0" applyNumberFormat="1" applyFont="1" applyFill="1" applyBorder="1" applyAlignment="1">
      <alignment horizontal="center"/>
    </xf>
    <xf numFmtId="166" fontId="5" fillId="40" borderId="10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117" xfId="0" applyFont="1" applyFill="1" applyBorder="1" applyAlignment="1">
      <alignment/>
    </xf>
    <xf numFmtId="0" fontId="5" fillId="0" borderId="109" xfId="0" applyFont="1" applyFill="1" applyBorder="1" applyAlignment="1">
      <alignment horizontal="center"/>
    </xf>
    <xf numFmtId="2" fontId="15" fillId="0" borderId="0" xfId="0" applyNumberFormat="1" applyFont="1" applyAlignment="1" applyProtection="1">
      <alignment/>
      <protection/>
    </xf>
    <xf numFmtId="166" fontId="5" fillId="40" borderId="101" xfId="0" applyNumberFormat="1" applyFont="1" applyFill="1" applyBorder="1" applyAlignment="1" applyProtection="1">
      <alignment horizontal="center"/>
      <protection/>
    </xf>
    <xf numFmtId="2" fontId="5" fillId="40" borderId="101" xfId="0" applyNumberFormat="1" applyFont="1" applyFill="1" applyBorder="1" applyAlignment="1" applyProtection="1">
      <alignment horizontal="center"/>
      <protection/>
    </xf>
    <xf numFmtId="165" fontId="5" fillId="40" borderId="101" xfId="0" applyNumberFormat="1" applyFont="1" applyFill="1" applyBorder="1" applyAlignment="1" applyProtection="1">
      <alignment horizontal="center"/>
      <protection/>
    </xf>
    <xf numFmtId="1" fontId="5" fillId="41" borderId="101" xfId="0" applyNumberFormat="1" applyFont="1" applyFill="1" applyBorder="1" applyAlignment="1" applyProtection="1">
      <alignment horizontal="center"/>
      <protection/>
    </xf>
    <xf numFmtId="166" fontId="5" fillId="41" borderId="101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>
      <alignment horizontal="center"/>
    </xf>
    <xf numFmtId="0" fontId="112" fillId="43" borderId="96" xfId="0" applyFont="1" applyFill="1" applyBorder="1" applyAlignment="1">
      <alignment/>
    </xf>
    <xf numFmtId="0" fontId="112" fillId="43" borderId="97" xfId="0" applyFont="1" applyFill="1" applyBorder="1" applyAlignment="1">
      <alignment/>
    </xf>
    <xf numFmtId="0" fontId="112" fillId="43" borderId="98" xfId="0" applyFont="1" applyFill="1" applyBorder="1" applyAlignment="1">
      <alignment/>
    </xf>
    <xf numFmtId="0" fontId="20" fillId="0" borderId="125" xfId="0" applyFont="1" applyBorder="1" applyAlignment="1" applyProtection="1" quotePrefix="1">
      <alignment horizontal="center"/>
      <protection/>
    </xf>
    <xf numFmtId="0" fontId="20" fillId="0" borderId="74" xfId="0" applyFont="1" applyBorder="1" applyAlignment="1" applyProtection="1" quotePrefix="1">
      <alignment horizontal="center"/>
      <protection/>
    </xf>
    <xf numFmtId="0" fontId="20" fillId="0" borderId="126" xfId="0" applyFont="1" applyBorder="1" applyAlignment="1" applyProtection="1" quotePrefix="1">
      <alignment horizontal="center"/>
      <protection/>
    </xf>
    <xf numFmtId="0" fontId="113" fillId="39" borderId="112" xfId="0" applyFont="1" applyFill="1" applyBorder="1" applyAlignment="1" quotePrefix="1">
      <alignment horizontal="left"/>
    </xf>
    <xf numFmtId="0" fontId="113" fillId="39" borderId="113" xfId="0" applyFont="1" applyFill="1" applyBorder="1" applyAlignment="1" quotePrefix="1">
      <alignment horizontal="left"/>
    </xf>
    <xf numFmtId="0" fontId="113" fillId="39" borderId="114" xfId="0" applyFont="1" applyFill="1" applyBorder="1" applyAlignment="1" quotePrefix="1">
      <alignment horizontal="left"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/>
    </xf>
    <xf numFmtId="0" fontId="100" fillId="0" borderId="100" xfId="0" applyFont="1" applyBorder="1" applyAlignment="1">
      <alignment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42" borderId="106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95" fillId="0" borderId="127" xfId="0" applyFont="1" applyBorder="1" applyAlignment="1">
      <alignment/>
    </xf>
    <xf numFmtId="0" fontId="95" fillId="0" borderId="113" xfId="0" applyFont="1" applyBorder="1" applyAlignment="1">
      <alignment/>
    </xf>
    <xf numFmtId="0" fontId="0" fillId="0" borderId="112" xfId="0" applyBorder="1" applyAlignment="1">
      <alignment horizontal="center"/>
    </xf>
    <xf numFmtId="4" fontId="0" fillId="42" borderId="106" xfId="0" applyNumberFormat="1" applyFill="1" applyBorder="1" applyAlignment="1">
      <alignment horizontal="center"/>
    </xf>
    <xf numFmtId="4" fontId="0" fillId="42" borderId="0" xfId="0" applyNumberFormat="1" applyFill="1" applyBorder="1" applyAlignment="1">
      <alignment horizontal="center"/>
    </xf>
    <xf numFmtId="0" fontId="114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6</xdr:row>
      <xdr:rowOff>76200</xdr:rowOff>
    </xdr:from>
    <xdr:to>
      <xdr:col>20</xdr:col>
      <xdr:colOff>304800</xdr:colOff>
      <xdr:row>19</xdr:row>
      <xdr:rowOff>104775</xdr:rowOff>
    </xdr:to>
    <xdr:grpSp>
      <xdr:nvGrpSpPr>
        <xdr:cNvPr id="1" name="Group 63"/>
        <xdr:cNvGrpSpPr>
          <a:grpSpLocks/>
        </xdr:cNvGrpSpPr>
      </xdr:nvGrpSpPr>
      <xdr:grpSpPr>
        <a:xfrm>
          <a:off x="9982200" y="1219200"/>
          <a:ext cx="3486150" cy="2657475"/>
          <a:chOff x="1048" y="8"/>
          <a:chExt cx="366" cy="281"/>
        </a:xfrm>
        <a:solidFill>
          <a:srgbClr val="FFFFFF"/>
        </a:solidFill>
      </xdr:grpSpPr>
      <xdr:sp>
        <xdr:nvSpPr>
          <xdr:cNvPr id="2" name="Freeform 1"/>
          <xdr:cNvSpPr>
            <a:spLocks/>
          </xdr:cNvSpPr>
        </xdr:nvSpPr>
        <xdr:spPr>
          <a:xfrm>
            <a:off x="1068" y="117"/>
            <a:ext cx="243" cy="162"/>
          </a:xfrm>
          <a:custGeom>
            <a:pathLst>
              <a:path h="138" w="246">
                <a:moveTo>
                  <a:pt x="0" y="137"/>
                </a:moveTo>
                <a:cubicBezTo>
                  <a:pt x="9" y="130"/>
                  <a:pt x="19" y="123"/>
                  <a:pt x="29" y="112"/>
                </a:cubicBezTo>
                <a:cubicBezTo>
                  <a:pt x="39" y="101"/>
                  <a:pt x="52" y="84"/>
                  <a:pt x="61" y="70"/>
                </a:cubicBezTo>
                <a:cubicBezTo>
                  <a:pt x="70" y="56"/>
                  <a:pt x="77" y="38"/>
                  <a:pt x="82" y="28"/>
                </a:cubicBezTo>
                <a:cubicBezTo>
                  <a:pt x="87" y="18"/>
                  <a:pt x="87" y="15"/>
                  <a:pt x="92" y="11"/>
                </a:cubicBezTo>
                <a:cubicBezTo>
                  <a:pt x="97" y="7"/>
                  <a:pt x="104" y="0"/>
                  <a:pt x="112" y="4"/>
                </a:cubicBezTo>
                <a:cubicBezTo>
                  <a:pt x="120" y="8"/>
                  <a:pt x="130" y="22"/>
                  <a:pt x="142" y="36"/>
                </a:cubicBezTo>
                <a:cubicBezTo>
                  <a:pt x="154" y="50"/>
                  <a:pt x="166" y="70"/>
                  <a:pt x="182" y="86"/>
                </a:cubicBezTo>
                <a:cubicBezTo>
                  <a:pt x="198" y="102"/>
                  <a:pt x="226" y="122"/>
                  <a:pt x="236" y="130"/>
                </a:cubicBezTo>
                <a:cubicBezTo>
                  <a:pt x="246" y="138"/>
                  <a:pt x="244" y="136"/>
                  <a:pt x="242" y="13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1062" y="8"/>
            <a:ext cx="0" cy="2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050" y="279"/>
            <a:ext cx="2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061" y="120"/>
            <a:ext cx="1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5"/>
          <xdr:cNvSpPr>
            <a:spLocks/>
          </xdr:cNvSpPr>
        </xdr:nvSpPr>
        <xdr:spPr>
          <a:xfrm>
            <a:off x="1175" y="10"/>
            <a:ext cx="116" cy="110"/>
          </a:xfrm>
          <a:custGeom>
            <a:pathLst>
              <a:path h="107" w="116">
                <a:moveTo>
                  <a:pt x="0" y="107"/>
                </a:moveTo>
                <a:cubicBezTo>
                  <a:pt x="12" y="105"/>
                  <a:pt x="24" y="103"/>
                  <a:pt x="33" y="101"/>
                </a:cubicBezTo>
                <a:cubicBezTo>
                  <a:pt x="42" y="99"/>
                  <a:pt x="48" y="96"/>
                  <a:pt x="55" y="92"/>
                </a:cubicBezTo>
                <a:cubicBezTo>
                  <a:pt x="62" y="88"/>
                  <a:pt x="72" y="81"/>
                  <a:pt x="78" y="74"/>
                </a:cubicBezTo>
                <a:cubicBezTo>
                  <a:pt x="84" y="67"/>
                  <a:pt x="87" y="60"/>
                  <a:pt x="93" y="48"/>
                </a:cubicBezTo>
                <a:cubicBezTo>
                  <a:pt x="99" y="36"/>
                  <a:pt x="107" y="18"/>
                  <a:pt x="116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075" y="119"/>
            <a:ext cx="102" cy="87"/>
          </a:xfrm>
          <a:custGeom>
            <a:pathLst>
              <a:path h="95" w="102">
                <a:moveTo>
                  <a:pt x="102" y="0"/>
                </a:moveTo>
                <a:cubicBezTo>
                  <a:pt x="98" y="0"/>
                  <a:pt x="95" y="1"/>
                  <a:pt x="89" y="3"/>
                </a:cubicBezTo>
                <a:cubicBezTo>
                  <a:pt x="83" y="5"/>
                  <a:pt x="76" y="5"/>
                  <a:pt x="66" y="13"/>
                </a:cubicBezTo>
                <a:cubicBezTo>
                  <a:pt x="56" y="21"/>
                  <a:pt x="40" y="35"/>
                  <a:pt x="29" y="49"/>
                </a:cubicBezTo>
                <a:cubicBezTo>
                  <a:pt x="18" y="63"/>
                  <a:pt x="9" y="79"/>
                  <a:pt x="0" y="95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11" y="200"/>
            <a:ext cx="103" cy="77"/>
          </a:xfrm>
          <a:custGeom>
            <a:pathLst>
              <a:path h="78" w="103">
                <a:moveTo>
                  <a:pt x="0" y="78"/>
                </a:moveTo>
                <a:cubicBezTo>
                  <a:pt x="23" y="66"/>
                  <a:pt x="46" y="54"/>
                  <a:pt x="63" y="41"/>
                </a:cubicBezTo>
                <a:cubicBezTo>
                  <a:pt x="80" y="28"/>
                  <a:pt x="91" y="14"/>
                  <a:pt x="10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237" y="112"/>
            <a:ext cx="137" cy="84"/>
          </a:xfrm>
          <a:custGeom>
            <a:pathLst>
              <a:path h="92" w="137">
                <a:moveTo>
                  <a:pt x="0" y="92"/>
                </a:moveTo>
                <a:cubicBezTo>
                  <a:pt x="13" y="88"/>
                  <a:pt x="27" y="84"/>
                  <a:pt x="50" y="69"/>
                </a:cubicBezTo>
                <a:cubicBezTo>
                  <a:pt x="73" y="54"/>
                  <a:pt x="105" y="27"/>
                  <a:pt x="13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1062" y="197"/>
            <a:ext cx="23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1048" y="88"/>
            <a:ext cx="31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1200" y="64"/>
            <a:ext cx="137" cy="82"/>
          </a:xfrm>
          <a:custGeom>
            <a:pathLst>
              <a:path h="87" w="137">
                <a:moveTo>
                  <a:pt x="0" y="87"/>
                </a:moveTo>
                <a:cubicBezTo>
                  <a:pt x="13" y="87"/>
                  <a:pt x="26" y="87"/>
                  <a:pt x="49" y="73"/>
                </a:cubicBezTo>
                <a:cubicBezTo>
                  <a:pt x="72" y="59"/>
                  <a:pt x="104" y="29"/>
                  <a:pt x="137" y="0"/>
                </a:cubicBezTo>
              </a:path>
            </a:pathLst>
          </a:cu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Oval 14"/>
          <xdr:cNvSpPr>
            <a:spLocks/>
          </xdr:cNvSpPr>
        </xdr:nvSpPr>
        <xdr:spPr>
          <a:xfrm>
            <a:off x="1306" y="83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1150" y="146"/>
            <a:ext cx="52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7"/>
          <xdr:cNvSpPr>
            <a:spLocks/>
          </xdr:cNvSpPr>
        </xdr:nvSpPr>
        <xdr:spPr>
          <a:xfrm>
            <a:off x="1087" y="145"/>
            <a:ext cx="62" cy="99"/>
          </a:xfrm>
          <a:custGeom>
            <a:pathLst>
              <a:path h="105" w="62">
                <a:moveTo>
                  <a:pt x="62" y="0"/>
                </a:moveTo>
                <a:cubicBezTo>
                  <a:pt x="59" y="7"/>
                  <a:pt x="57" y="15"/>
                  <a:pt x="52" y="24"/>
                </a:cubicBezTo>
                <a:cubicBezTo>
                  <a:pt x="47" y="33"/>
                  <a:pt x="44" y="42"/>
                  <a:pt x="35" y="56"/>
                </a:cubicBezTo>
                <a:cubicBezTo>
                  <a:pt x="26" y="70"/>
                  <a:pt x="13" y="87"/>
                  <a:pt x="0" y="105"/>
                </a:cubicBezTo>
              </a:path>
            </a:pathLst>
          </a:cu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H="1">
            <a:off x="1064" y="146"/>
            <a:ext cx="8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1064" y="131"/>
            <a:ext cx="6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t = 276.6 ºC</a:t>
            </a:r>
          </a:p>
        </xdr:txBody>
      </xdr:sp>
    </xdr:grpSp>
    <xdr:clientData/>
  </xdr:twoCellAnchor>
  <xdr:twoCellAnchor>
    <xdr:from>
      <xdr:col>14</xdr:col>
      <xdr:colOff>247650</xdr:colOff>
      <xdr:row>29</xdr:row>
      <xdr:rowOff>28575</xdr:rowOff>
    </xdr:from>
    <xdr:to>
      <xdr:col>18</xdr:col>
      <xdr:colOff>428625</xdr:colOff>
      <xdr:row>37</xdr:row>
      <xdr:rowOff>9525</xdr:rowOff>
    </xdr:to>
    <xdr:sp>
      <xdr:nvSpPr>
        <xdr:cNvPr id="18" name="Freeform 20"/>
        <xdr:cNvSpPr>
          <a:spLocks/>
        </xdr:cNvSpPr>
      </xdr:nvSpPr>
      <xdr:spPr>
        <a:xfrm>
          <a:off x="10172700" y="5743575"/>
          <a:ext cx="2314575" cy="1524000"/>
        </a:xfrm>
        <a:custGeom>
          <a:pathLst>
            <a:path h="138" w="246">
              <a:moveTo>
                <a:pt x="0" y="137"/>
              </a:moveTo>
              <a:cubicBezTo>
                <a:pt x="9" y="130"/>
                <a:pt x="19" y="123"/>
                <a:pt x="29" y="112"/>
              </a:cubicBezTo>
              <a:cubicBezTo>
                <a:pt x="39" y="101"/>
                <a:pt x="52" y="84"/>
                <a:pt x="61" y="70"/>
              </a:cubicBezTo>
              <a:cubicBezTo>
                <a:pt x="70" y="56"/>
                <a:pt x="77" y="38"/>
                <a:pt x="82" y="28"/>
              </a:cubicBezTo>
              <a:cubicBezTo>
                <a:pt x="87" y="18"/>
                <a:pt x="87" y="15"/>
                <a:pt x="92" y="11"/>
              </a:cubicBezTo>
              <a:cubicBezTo>
                <a:pt x="97" y="7"/>
                <a:pt x="104" y="0"/>
                <a:pt x="112" y="4"/>
              </a:cubicBezTo>
              <a:cubicBezTo>
                <a:pt x="120" y="8"/>
                <a:pt x="130" y="22"/>
                <a:pt x="142" y="36"/>
              </a:cubicBezTo>
              <a:cubicBezTo>
                <a:pt x="154" y="50"/>
                <a:pt x="166" y="70"/>
                <a:pt x="182" y="86"/>
              </a:cubicBezTo>
              <a:cubicBezTo>
                <a:pt x="198" y="102"/>
                <a:pt x="226" y="122"/>
                <a:pt x="236" y="130"/>
              </a:cubicBezTo>
              <a:cubicBezTo>
                <a:pt x="246" y="138"/>
                <a:pt x="244" y="136"/>
                <a:pt x="242" y="1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26</xdr:row>
      <xdr:rowOff>0</xdr:rowOff>
    </xdr:from>
    <xdr:to>
      <xdr:col>14</xdr:col>
      <xdr:colOff>190500</xdr:colOff>
      <xdr:row>37</xdr:row>
      <xdr:rowOff>104775</xdr:rowOff>
    </xdr:to>
    <xdr:sp>
      <xdr:nvSpPr>
        <xdr:cNvPr id="19" name="Line 21"/>
        <xdr:cNvSpPr>
          <a:spLocks/>
        </xdr:cNvSpPr>
      </xdr:nvSpPr>
      <xdr:spPr>
        <a:xfrm flipV="1">
          <a:off x="10115550" y="51054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76200</xdr:colOff>
      <xdr:row>37</xdr:row>
      <xdr:rowOff>9525</xdr:rowOff>
    </xdr:from>
    <xdr:to>
      <xdr:col>19</xdr:col>
      <xdr:colOff>152400</xdr:colOff>
      <xdr:row>37</xdr:row>
      <xdr:rowOff>9525</xdr:rowOff>
    </xdr:to>
    <xdr:sp>
      <xdr:nvSpPr>
        <xdr:cNvPr id="20" name="Line 22"/>
        <xdr:cNvSpPr>
          <a:spLocks/>
        </xdr:cNvSpPr>
      </xdr:nvSpPr>
      <xdr:spPr>
        <a:xfrm>
          <a:off x="10001250" y="72675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29</xdr:row>
      <xdr:rowOff>47625</xdr:rowOff>
    </xdr:from>
    <xdr:to>
      <xdr:col>17</xdr:col>
      <xdr:colOff>371475</xdr:colOff>
      <xdr:row>29</xdr:row>
      <xdr:rowOff>47625</xdr:rowOff>
    </xdr:to>
    <xdr:sp>
      <xdr:nvSpPr>
        <xdr:cNvPr id="21" name="Line 23"/>
        <xdr:cNvSpPr>
          <a:spLocks/>
        </xdr:cNvSpPr>
      </xdr:nvSpPr>
      <xdr:spPr>
        <a:xfrm>
          <a:off x="10106025" y="57626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200025</xdr:colOff>
      <xdr:row>26</xdr:row>
      <xdr:rowOff>0</xdr:rowOff>
    </xdr:from>
    <xdr:to>
      <xdr:col>18</xdr:col>
      <xdr:colOff>238125</xdr:colOff>
      <xdr:row>29</xdr:row>
      <xdr:rowOff>47625</xdr:rowOff>
    </xdr:to>
    <xdr:sp>
      <xdr:nvSpPr>
        <xdr:cNvPr id="22" name="Freeform 24"/>
        <xdr:cNvSpPr>
          <a:spLocks/>
        </xdr:cNvSpPr>
      </xdr:nvSpPr>
      <xdr:spPr>
        <a:xfrm>
          <a:off x="11191875" y="5105400"/>
          <a:ext cx="1104900" cy="657225"/>
        </a:xfrm>
        <a:custGeom>
          <a:pathLst>
            <a:path h="107" w="116">
              <a:moveTo>
                <a:pt x="0" y="107"/>
              </a:moveTo>
              <a:cubicBezTo>
                <a:pt x="12" y="105"/>
                <a:pt x="24" y="103"/>
                <a:pt x="33" y="101"/>
              </a:cubicBezTo>
              <a:cubicBezTo>
                <a:pt x="42" y="99"/>
                <a:pt x="48" y="96"/>
                <a:pt x="55" y="92"/>
              </a:cubicBezTo>
              <a:cubicBezTo>
                <a:pt x="62" y="88"/>
                <a:pt x="72" y="81"/>
                <a:pt x="78" y="74"/>
              </a:cubicBezTo>
              <a:cubicBezTo>
                <a:pt x="84" y="67"/>
                <a:pt x="87" y="60"/>
                <a:pt x="93" y="48"/>
              </a:cubicBezTo>
              <a:cubicBezTo>
                <a:pt x="99" y="36"/>
                <a:pt x="107" y="18"/>
                <a:pt x="1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314325</xdr:colOff>
      <xdr:row>29</xdr:row>
      <xdr:rowOff>47625</xdr:rowOff>
    </xdr:from>
    <xdr:to>
      <xdr:col>16</xdr:col>
      <xdr:colOff>219075</xdr:colOff>
      <xdr:row>33</xdr:row>
      <xdr:rowOff>76200</xdr:rowOff>
    </xdr:to>
    <xdr:sp>
      <xdr:nvSpPr>
        <xdr:cNvPr id="23" name="Freeform 25"/>
        <xdr:cNvSpPr>
          <a:spLocks/>
        </xdr:cNvSpPr>
      </xdr:nvSpPr>
      <xdr:spPr>
        <a:xfrm>
          <a:off x="10239375" y="5762625"/>
          <a:ext cx="971550" cy="809625"/>
        </a:xfrm>
        <a:custGeom>
          <a:pathLst>
            <a:path h="95" w="102">
              <a:moveTo>
                <a:pt x="102" y="0"/>
              </a:moveTo>
              <a:cubicBezTo>
                <a:pt x="98" y="0"/>
                <a:pt x="95" y="1"/>
                <a:pt x="89" y="3"/>
              </a:cubicBezTo>
              <a:cubicBezTo>
                <a:pt x="83" y="5"/>
                <a:pt x="76" y="5"/>
                <a:pt x="66" y="13"/>
              </a:cubicBezTo>
              <a:cubicBezTo>
                <a:pt x="56" y="21"/>
                <a:pt x="40" y="35"/>
                <a:pt x="29" y="49"/>
              </a:cubicBezTo>
              <a:cubicBezTo>
                <a:pt x="18" y="63"/>
                <a:pt x="9" y="79"/>
                <a:pt x="0" y="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19050</xdr:rowOff>
    </xdr:from>
    <xdr:to>
      <xdr:col>20</xdr:col>
      <xdr:colOff>304800</xdr:colOff>
      <xdr:row>36</xdr:row>
      <xdr:rowOff>180975</xdr:rowOff>
    </xdr:to>
    <xdr:sp>
      <xdr:nvSpPr>
        <xdr:cNvPr id="24" name="Freeform 26"/>
        <xdr:cNvSpPr>
          <a:spLocks/>
        </xdr:cNvSpPr>
      </xdr:nvSpPr>
      <xdr:spPr>
        <a:xfrm>
          <a:off x="12487275" y="6515100"/>
          <a:ext cx="981075" cy="733425"/>
        </a:xfrm>
        <a:custGeom>
          <a:pathLst>
            <a:path h="78" w="103">
              <a:moveTo>
                <a:pt x="0" y="78"/>
              </a:moveTo>
              <a:cubicBezTo>
                <a:pt x="23" y="66"/>
                <a:pt x="46" y="54"/>
                <a:pt x="63" y="41"/>
              </a:cubicBezTo>
              <a:cubicBezTo>
                <a:pt x="80" y="28"/>
                <a:pt x="91" y="14"/>
                <a:pt x="10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228600</xdr:colOff>
      <xdr:row>28</xdr:row>
      <xdr:rowOff>209550</xdr:rowOff>
    </xdr:from>
    <xdr:to>
      <xdr:col>19</xdr:col>
      <xdr:colOff>428625</xdr:colOff>
      <xdr:row>32</xdr:row>
      <xdr:rowOff>171450</xdr:rowOff>
    </xdr:to>
    <xdr:sp>
      <xdr:nvSpPr>
        <xdr:cNvPr id="25" name="Freeform 27"/>
        <xdr:cNvSpPr>
          <a:spLocks/>
        </xdr:cNvSpPr>
      </xdr:nvSpPr>
      <xdr:spPr>
        <a:xfrm>
          <a:off x="11753850" y="5695950"/>
          <a:ext cx="1304925" cy="781050"/>
        </a:xfrm>
        <a:custGeom>
          <a:pathLst>
            <a:path h="92" w="137">
              <a:moveTo>
                <a:pt x="0" y="92"/>
              </a:moveTo>
              <a:cubicBezTo>
                <a:pt x="13" y="88"/>
                <a:pt x="27" y="84"/>
                <a:pt x="50" y="69"/>
              </a:cubicBezTo>
              <a:cubicBezTo>
                <a:pt x="73" y="54"/>
                <a:pt x="105" y="27"/>
                <a:pt x="13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32</xdr:row>
      <xdr:rowOff>180975</xdr:rowOff>
    </xdr:from>
    <xdr:to>
      <xdr:col>18</xdr:col>
      <xdr:colOff>323850</xdr:colOff>
      <xdr:row>32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10115550" y="6486525"/>
          <a:ext cx="2266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32</xdr:row>
      <xdr:rowOff>171450</xdr:rowOff>
    </xdr:from>
    <xdr:to>
      <xdr:col>19</xdr:col>
      <xdr:colOff>219075</xdr:colOff>
      <xdr:row>32</xdr:row>
      <xdr:rowOff>171450</xdr:rowOff>
    </xdr:to>
    <xdr:sp>
      <xdr:nvSpPr>
        <xdr:cNvPr id="27" name="Line 29"/>
        <xdr:cNvSpPr>
          <a:spLocks/>
        </xdr:cNvSpPr>
      </xdr:nvSpPr>
      <xdr:spPr>
        <a:xfrm>
          <a:off x="9867900" y="6477000"/>
          <a:ext cx="2981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447675</xdr:colOff>
      <xdr:row>27</xdr:row>
      <xdr:rowOff>0</xdr:rowOff>
    </xdr:from>
    <xdr:to>
      <xdr:col>19</xdr:col>
      <xdr:colOff>114300</xdr:colOff>
      <xdr:row>30</xdr:row>
      <xdr:rowOff>114300</xdr:rowOff>
    </xdr:to>
    <xdr:sp>
      <xdr:nvSpPr>
        <xdr:cNvPr id="28" name="Freeform 30"/>
        <xdr:cNvSpPr>
          <a:spLocks/>
        </xdr:cNvSpPr>
      </xdr:nvSpPr>
      <xdr:spPr>
        <a:xfrm>
          <a:off x="11439525" y="5295900"/>
          <a:ext cx="1304925" cy="733425"/>
        </a:xfrm>
        <a:custGeom>
          <a:pathLst>
            <a:path h="87" w="137">
              <a:moveTo>
                <a:pt x="0" y="87"/>
              </a:moveTo>
              <a:cubicBezTo>
                <a:pt x="13" y="87"/>
                <a:pt x="26" y="87"/>
                <a:pt x="49" y="73"/>
              </a:cubicBezTo>
              <a:cubicBezTo>
                <a:pt x="72" y="59"/>
                <a:pt x="104" y="29"/>
                <a:pt x="137" y="0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32</xdr:row>
      <xdr:rowOff>114300</xdr:rowOff>
    </xdr:from>
    <xdr:to>
      <xdr:col>15</xdr:col>
      <xdr:colOff>295275</xdr:colOff>
      <xdr:row>32</xdr:row>
      <xdr:rowOff>180975</xdr:rowOff>
    </xdr:to>
    <xdr:sp>
      <xdr:nvSpPr>
        <xdr:cNvPr id="29" name="Oval 31"/>
        <xdr:cNvSpPr>
          <a:spLocks/>
        </xdr:cNvSpPr>
      </xdr:nvSpPr>
      <xdr:spPr>
        <a:xfrm>
          <a:off x="10677525" y="6419850"/>
          <a:ext cx="76200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476250</xdr:colOff>
      <xdr:row>30</xdr:row>
      <xdr:rowOff>123825</xdr:rowOff>
    </xdr:from>
    <xdr:to>
      <xdr:col>16</xdr:col>
      <xdr:colOff>438150</xdr:colOff>
      <xdr:row>30</xdr:row>
      <xdr:rowOff>123825</xdr:rowOff>
    </xdr:to>
    <xdr:sp>
      <xdr:nvSpPr>
        <xdr:cNvPr id="30" name="Line 32"/>
        <xdr:cNvSpPr>
          <a:spLocks/>
        </xdr:cNvSpPr>
      </xdr:nvSpPr>
      <xdr:spPr>
        <a:xfrm flipH="1">
          <a:off x="10934700" y="6038850"/>
          <a:ext cx="49530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409575</xdr:colOff>
      <xdr:row>30</xdr:row>
      <xdr:rowOff>114300</xdr:rowOff>
    </xdr:from>
    <xdr:to>
      <xdr:col>15</xdr:col>
      <xdr:colOff>485775</xdr:colOff>
      <xdr:row>35</xdr:row>
      <xdr:rowOff>85725</xdr:rowOff>
    </xdr:to>
    <xdr:sp>
      <xdr:nvSpPr>
        <xdr:cNvPr id="31" name="Freeform 33"/>
        <xdr:cNvSpPr>
          <a:spLocks/>
        </xdr:cNvSpPr>
      </xdr:nvSpPr>
      <xdr:spPr>
        <a:xfrm>
          <a:off x="10334625" y="6029325"/>
          <a:ext cx="609600" cy="933450"/>
        </a:xfrm>
        <a:custGeom>
          <a:pathLst>
            <a:path h="105" w="62">
              <a:moveTo>
                <a:pt x="62" y="0"/>
              </a:moveTo>
              <a:cubicBezTo>
                <a:pt x="59" y="7"/>
                <a:pt x="57" y="15"/>
                <a:pt x="52" y="24"/>
              </a:cubicBezTo>
              <a:cubicBezTo>
                <a:pt x="47" y="33"/>
                <a:pt x="44" y="42"/>
                <a:pt x="35" y="56"/>
              </a:cubicBezTo>
              <a:cubicBezTo>
                <a:pt x="26" y="70"/>
                <a:pt x="13" y="87"/>
                <a:pt x="0" y="105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30</xdr:row>
      <xdr:rowOff>123825</xdr:rowOff>
    </xdr:from>
    <xdr:to>
      <xdr:col>15</xdr:col>
      <xdr:colOff>523875</xdr:colOff>
      <xdr:row>30</xdr:row>
      <xdr:rowOff>123825</xdr:rowOff>
    </xdr:to>
    <xdr:sp>
      <xdr:nvSpPr>
        <xdr:cNvPr id="32" name="Line 34"/>
        <xdr:cNvSpPr>
          <a:spLocks/>
        </xdr:cNvSpPr>
      </xdr:nvSpPr>
      <xdr:spPr>
        <a:xfrm flipH="1">
          <a:off x="10134600" y="603885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29</xdr:row>
      <xdr:rowOff>190500</xdr:rowOff>
    </xdr:from>
    <xdr:to>
      <xdr:col>15</xdr:col>
      <xdr:colOff>295275</xdr:colOff>
      <xdr:row>30</xdr:row>
      <xdr:rowOff>114300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10134600" y="5905500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t = 276.6 ºC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14</xdr:row>
      <xdr:rowOff>28575</xdr:rowOff>
    </xdr:from>
    <xdr:to>
      <xdr:col>14</xdr:col>
      <xdr:colOff>428625</xdr:colOff>
      <xdr:row>22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8372475" y="3200400"/>
          <a:ext cx="2314575" cy="1885950"/>
        </a:xfrm>
        <a:custGeom>
          <a:pathLst>
            <a:path h="138" w="246">
              <a:moveTo>
                <a:pt x="0" y="137"/>
              </a:moveTo>
              <a:cubicBezTo>
                <a:pt x="9" y="130"/>
                <a:pt x="19" y="123"/>
                <a:pt x="29" y="112"/>
              </a:cubicBezTo>
              <a:cubicBezTo>
                <a:pt x="39" y="101"/>
                <a:pt x="52" y="84"/>
                <a:pt x="61" y="70"/>
              </a:cubicBezTo>
              <a:cubicBezTo>
                <a:pt x="70" y="56"/>
                <a:pt x="77" y="38"/>
                <a:pt x="82" y="28"/>
              </a:cubicBezTo>
              <a:cubicBezTo>
                <a:pt x="87" y="18"/>
                <a:pt x="87" y="15"/>
                <a:pt x="92" y="11"/>
              </a:cubicBezTo>
              <a:cubicBezTo>
                <a:pt x="97" y="7"/>
                <a:pt x="104" y="0"/>
                <a:pt x="112" y="4"/>
              </a:cubicBezTo>
              <a:cubicBezTo>
                <a:pt x="120" y="8"/>
                <a:pt x="130" y="22"/>
                <a:pt x="142" y="36"/>
              </a:cubicBezTo>
              <a:cubicBezTo>
                <a:pt x="154" y="50"/>
                <a:pt x="166" y="70"/>
                <a:pt x="182" y="86"/>
              </a:cubicBezTo>
              <a:cubicBezTo>
                <a:pt x="198" y="102"/>
                <a:pt x="226" y="122"/>
                <a:pt x="236" y="130"/>
              </a:cubicBezTo>
              <a:cubicBezTo>
                <a:pt x="246" y="138"/>
                <a:pt x="244" y="136"/>
                <a:pt x="242" y="1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190500</xdr:colOff>
      <xdr:row>3</xdr:row>
      <xdr:rowOff>133350</xdr:rowOff>
    </xdr:from>
    <xdr:to>
      <xdr:col>10</xdr:col>
      <xdr:colOff>190500</xdr:colOff>
      <xdr:row>22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8315325" y="685800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9525</xdr:rowOff>
    </xdr:from>
    <xdr:to>
      <xdr:col>18</xdr:col>
      <xdr:colOff>47625</xdr:colOff>
      <xdr:row>22</xdr:row>
      <xdr:rowOff>9525</xdr:rowOff>
    </xdr:to>
    <xdr:sp>
      <xdr:nvSpPr>
        <xdr:cNvPr id="3" name="Line 3"/>
        <xdr:cNvSpPr>
          <a:spLocks/>
        </xdr:cNvSpPr>
      </xdr:nvSpPr>
      <xdr:spPr>
        <a:xfrm>
          <a:off x="8143875" y="508635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57150</xdr:rowOff>
    </xdr:from>
    <xdr:to>
      <xdr:col>13</xdr:col>
      <xdr:colOff>371475</xdr:colOff>
      <xdr:row>14</xdr:row>
      <xdr:rowOff>57150</xdr:rowOff>
    </xdr:to>
    <xdr:sp>
      <xdr:nvSpPr>
        <xdr:cNvPr id="4" name="Line 4"/>
        <xdr:cNvSpPr>
          <a:spLocks/>
        </xdr:cNvSpPr>
      </xdr:nvSpPr>
      <xdr:spPr>
        <a:xfrm>
          <a:off x="8305800" y="32289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9</xdr:row>
      <xdr:rowOff>95250</xdr:rowOff>
    </xdr:from>
    <xdr:to>
      <xdr:col>14</xdr:col>
      <xdr:colOff>238125</xdr:colOff>
      <xdr:row>14</xdr:row>
      <xdr:rowOff>57150</xdr:rowOff>
    </xdr:to>
    <xdr:sp>
      <xdr:nvSpPr>
        <xdr:cNvPr id="5" name="Freeform 5"/>
        <xdr:cNvSpPr>
          <a:spLocks/>
        </xdr:cNvSpPr>
      </xdr:nvSpPr>
      <xdr:spPr>
        <a:xfrm>
          <a:off x="9391650" y="2076450"/>
          <a:ext cx="1104900" cy="1152525"/>
        </a:xfrm>
        <a:custGeom>
          <a:pathLst>
            <a:path h="107" w="116">
              <a:moveTo>
                <a:pt x="0" y="107"/>
              </a:moveTo>
              <a:cubicBezTo>
                <a:pt x="12" y="105"/>
                <a:pt x="24" y="103"/>
                <a:pt x="33" y="101"/>
              </a:cubicBezTo>
              <a:cubicBezTo>
                <a:pt x="42" y="99"/>
                <a:pt x="48" y="96"/>
                <a:pt x="55" y="92"/>
              </a:cubicBezTo>
              <a:cubicBezTo>
                <a:pt x="62" y="88"/>
                <a:pt x="72" y="81"/>
                <a:pt x="78" y="74"/>
              </a:cubicBezTo>
              <a:cubicBezTo>
                <a:pt x="84" y="67"/>
                <a:pt x="87" y="60"/>
                <a:pt x="93" y="48"/>
              </a:cubicBezTo>
              <a:cubicBezTo>
                <a:pt x="99" y="36"/>
                <a:pt x="107" y="18"/>
                <a:pt x="1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14</xdr:row>
      <xdr:rowOff>47625</xdr:rowOff>
    </xdr:from>
    <xdr:to>
      <xdr:col>12</xdr:col>
      <xdr:colOff>219075</xdr:colOff>
      <xdr:row>18</xdr:row>
      <xdr:rowOff>76200</xdr:rowOff>
    </xdr:to>
    <xdr:sp>
      <xdr:nvSpPr>
        <xdr:cNvPr id="6" name="Freeform 6"/>
        <xdr:cNvSpPr>
          <a:spLocks/>
        </xdr:cNvSpPr>
      </xdr:nvSpPr>
      <xdr:spPr>
        <a:xfrm>
          <a:off x="8439150" y="3219450"/>
          <a:ext cx="971550" cy="981075"/>
        </a:xfrm>
        <a:custGeom>
          <a:pathLst>
            <a:path h="95" w="102">
              <a:moveTo>
                <a:pt x="102" y="0"/>
              </a:moveTo>
              <a:cubicBezTo>
                <a:pt x="98" y="0"/>
                <a:pt x="95" y="1"/>
                <a:pt x="89" y="3"/>
              </a:cubicBezTo>
              <a:cubicBezTo>
                <a:pt x="83" y="5"/>
                <a:pt x="76" y="5"/>
                <a:pt x="66" y="13"/>
              </a:cubicBezTo>
              <a:cubicBezTo>
                <a:pt x="56" y="21"/>
                <a:pt x="40" y="35"/>
                <a:pt x="29" y="49"/>
              </a:cubicBezTo>
              <a:cubicBezTo>
                <a:pt x="18" y="63"/>
                <a:pt x="9" y="79"/>
                <a:pt x="0" y="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257175</xdr:colOff>
      <xdr:row>18</xdr:row>
      <xdr:rowOff>171450</xdr:rowOff>
    </xdr:from>
    <xdr:to>
      <xdr:col>17</xdr:col>
      <xdr:colOff>476250</xdr:colOff>
      <xdr:row>21</xdr:row>
      <xdr:rowOff>38100</xdr:rowOff>
    </xdr:to>
    <xdr:sp>
      <xdr:nvSpPr>
        <xdr:cNvPr id="7" name="Freeform 7"/>
        <xdr:cNvSpPr>
          <a:spLocks/>
        </xdr:cNvSpPr>
      </xdr:nvSpPr>
      <xdr:spPr>
        <a:xfrm>
          <a:off x="10515600" y="4295775"/>
          <a:ext cx="1819275" cy="581025"/>
        </a:xfrm>
        <a:custGeom>
          <a:pathLst>
            <a:path h="78" w="103">
              <a:moveTo>
                <a:pt x="0" y="78"/>
              </a:moveTo>
              <a:cubicBezTo>
                <a:pt x="23" y="66"/>
                <a:pt x="46" y="54"/>
                <a:pt x="63" y="41"/>
              </a:cubicBezTo>
              <a:cubicBezTo>
                <a:pt x="80" y="28"/>
                <a:pt x="91" y="14"/>
                <a:pt x="103" y="0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495300</xdr:colOff>
      <xdr:row>15</xdr:row>
      <xdr:rowOff>95250</xdr:rowOff>
    </xdr:from>
    <xdr:to>
      <xdr:col>12</xdr:col>
      <xdr:colOff>409575</xdr:colOff>
      <xdr:row>15</xdr:row>
      <xdr:rowOff>95250</xdr:rowOff>
    </xdr:to>
    <xdr:sp>
      <xdr:nvSpPr>
        <xdr:cNvPr id="8" name="Line 13"/>
        <xdr:cNvSpPr>
          <a:spLocks/>
        </xdr:cNvSpPr>
      </xdr:nvSpPr>
      <xdr:spPr>
        <a:xfrm flipH="1">
          <a:off x="9153525" y="3505200"/>
          <a:ext cx="4476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15</xdr:row>
      <xdr:rowOff>85725</xdr:rowOff>
    </xdr:from>
    <xdr:to>
      <xdr:col>11</xdr:col>
      <xdr:colOff>514350</xdr:colOff>
      <xdr:row>20</xdr:row>
      <xdr:rowOff>57150</xdr:rowOff>
    </xdr:to>
    <xdr:sp>
      <xdr:nvSpPr>
        <xdr:cNvPr id="9" name="Freeform 14"/>
        <xdr:cNvSpPr>
          <a:spLocks/>
        </xdr:cNvSpPr>
      </xdr:nvSpPr>
      <xdr:spPr>
        <a:xfrm>
          <a:off x="8582025" y="3495675"/>
          <a:ext cx="590550" cy="1162050"/>
        </a:xfrm>
        <a:custGeom>
          <a:pathLst>
            <a:path h="105" w="62">
              <a:moveTo>
                <a:pt x="62" y="0"/>
              </a:moveTo>
              <a:cubicBezTo>
                <a:pt x="59" y="7"/>
                <a:pt x="57" y="15"/>
                <a:pt x="52" y="24"/>
              </a:cubicBezTo>
              <a:cubicBezTo>
                <a:pt x="47" y="33"/>
                <a:pt x="44" y="42"/>
                <a:pt x="35" y="56"/>
              </a:cubicBezTo>
              <a:cubicBezTo>
                <a:pt x="26" y="70"/>
                <a:pt x="13" y="87"/>
                <a:pt x="0" y="105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15</xdr:row>
      <xdr:rowOff>95250</xdr:rowOff>
    </xdr:from>
    <xdr:to>
      <xdr:col>11</xdr:col>
      <xdr:colOff>523875</xdr:colOff>
      <xdr:row>15</xdr:row>
      <xdr:rowOff>95250</xdr:rowOff>
    </xdr:to>
    <xdr:sp>
      <xdr:nvSpPr>
        <xdr:cNvPr id="10" name="Line 15"/>
        <xdr:cNvSpPr>
          <a:spLocks/>
        </xdr:cNvSpPr>
      </xdr:nvSpPr>
      <xdr:spPr>
        <a:xfrm flipH="1">
          <a:off x="8334375" y="3505200"/>
          <a:ext cx="847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409575</xdr:colOff>
      <xdr:row>5</xdr:row>
      <xdr:rowOff>133350</xdr:rowOff>
    </xdr:from>
    <xdr:to>
      <xdr:col>16</xdr:col>
      <xdr:colOff>171450</xdr:colOff>
      <xdr:row>15</xdr:row>
      <xdr:rowOff>95250</xdr:rowOff>
    </xdr:to>
    <xdr:sp>
      <xdr:nvSpPr>
        <xdr:cNvPr id="11" name="Freeform 17"/>
        <xdr:cNvSpPr>
          <a:spLocks/>
        </xdr:cNvSpPr>
      </xdr:nvSpPr>
      <xdr:spPr>
        <a:xfrm>
          <a:off x="9601200" y="1162050"/>
          <a:ext cx="1895475" cy="2343150"/>
        </a:xfrm>
        <a:custGeom>
          <a:pathLst>
            <a:path h="246" w="199">
              <a:moveTo>
                <a:pt x="0" y="246"/>
              </a:moveTo>
              <a:cubicBezTo>
                <a:pt x="8" y="245"/>
                <a:pt x="17" y="244"/>
                <a:pt x="30" y="238"/>
              </a:cubicBezTo>
              <a:cubicBezTo>
                <a:pt x="43" y="232"/>
                <a:pt x="58" y="228"/>
                <a:pt x="79" y="208"/>
              </a:cubicBezTo>
              <a:cubicBezTo>
                <a:pt x="100" y="188"/>
                <a:pt x="138" y="151"/>
                <a:pt x="158" y="116"/>
              </a:cubicBezTo>
              <a:cubicBezTo>
                <a:pt x="178" y="81"/>
                <a:pt x="188" y="40"/>
                <a:pt x="199" y="0"/>
              </a:cubicBezTo>
            </a:path>
          </a:pathLst>
        </a:cu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38100</xdr:rowOff>
    </xdr:from>
    <xdr:to>
      <xdr:col>16</xdr:col>
      <xdr:colOff>9525</xdr:colOff>
      <xdr:row>20</xdr:row>
      <xdr:rowOff>76200</xdr:rowOff>
    </xdr:to>
    <xdr:sp>
      <xdr:nvSpPr>
        <xdr:cNvPr id="12" name="Line 22"/>
        <xdr:cNvSpPr>
          <a:spLocks/>
        </xdr:cNvSpPr>
      </xdr:nvSpPr>
      <xdr:spPr>
        <a:xfrm>
          <a:off x="11334750" y="1781175"/>
          <a:ext cx="0" cy="289560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381000</xdr:colOff>
      <xdr:row>20</xdr:row>
      <xdr:rowOff>0</xdr:rowOff>
    </xdr:to>
    <xdr:sp>
      <xdr:nvSpPr>
        <xdr:cNvPr id="13" name="Line 24"/>
        <xdr:cNvSpPr>
          <a:spLocks/>
        </xdr:cNvSpPr>
      </xdr:nvSpPr>
      <xdr:spPr>
        <a:xfrm>
          <a:off x="11344275" y="1762125"/>
          <a:ext cx="352425" cy="2838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390525</xdr:colOff>
      <xdr:row>20</xdr:row>
      <xdr:rowOff>28575</xdr:rowOff>
    </xdr:from>
    <xdr:to>
      <xdr:col>16</xdr:col>
      <xdr:colOff>390525</xdr:colOff>
      <xdr:row>21</xdr:row>
      <xdr:rowOff>180975</xdr:rowOff>
    </xdr:to>
    <xdr:sp>
      <xdr:nvSpPr>
        <xdr:cNvPr id="14" name="Line 27"/>
        <xdr:cNvSpPr>
          <a:spLocks/>
        </xdr:cNvSpPr>
      </xdr:nvSpPr>
      <xdr:spPr>
        <a:xfrm>
          <a:off x="11715750" y="46291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95250</xdr:rowOff>
    </xdr:from>
    <xdr:to>
      <xdr:col>14</xdr:col>
      <xdr:colOff>38100</xdr:colOff>
      <xdr:row>15</xdr:row>
      <xdr:rowOff>104775</xdr:rowOff>
    </xdr:to>
    <xdr:sp>
      <xdr:nvSpPr>
        <xdr:cNvPr id="15" name="Line 31"/>
        <xdr:cNvSpPr>
          <a:spLocks/>
        </xdr:cNvSpPr>
      </xdr:nvSpPr>
      <xdr:spPr>
        <a:xfrm>
          <a:off x="8201025" y="3505200"/>
          <a:ext cx="20955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20</xdr:row>
      <xdr:rowOff>47625</xdr:rowOff>
    </xdr:from>
    <xdr:to>
      <xdr:col>16</xdr:col>
      <xdr:colOff>47625</xdr:colOff>
      <xdr:row>20</xdr:row>
      <xdr:rowOff>123825</xdr:rowOff>
    </xdr:to>
    <xdr:sp>
      <xdr:nvSpPr>
        <xdr:cNvPr id="16" name="Oval 33"/>
        <xdr:cNvSpPr>
          <a:spLocks/>
        </xdr:cNvSpPr>
      </xdr:nvSpPr>
      <xdr:spPr>
        <a:xfrm>
          <a:off x="11296650" y="46482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352425</xdr:colOff>
      <xdr:row>19</xdr:row>
      <xdr:rowOff>152400</xdr:rowOff>
    </xdr:from>
    <xdr:to>
      <xdr:col>16</xdr:col>
      <xdr:colOff>428625</xdr:colOff>
      <xdr:row>20</xdr:row>
      <xdr:rowOff>28575</xdr:rowOff>
    </xdr:to>
    <xdr:sp>
      <xdr:nvSpPr>
        <xdr:cNvPr id="17" name="Oval 34"/>
        <xdr:cNvSpPr>
          <a:spLocks/>
        </xdr:cNvSpPr>
      </xdr:nvSpPr>
      <xdr:spPr>
        <a:xfrm>
          <a:off x="11677650" y="4514850"/>
          <a:ext cx="76200" cy="1143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371475</xdr:colOff>
      <xdr:row>20</xdr:row>
      <xdr:rowOff>123825</xdr:rowOff>
    </xdr:from>
    <xdr:to>
      <xdr:col>16</xdr:col>
      <xdr:colOff>19050</xdr:colOff>
      <xdr:row>21</xdr:row>
      <xdr:rowOff>85725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11163300" y="4724400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2s</a:t>
          </a:r>
          <a:r>
            <a:rPr lang="en-US" cap="none" sz="800" b="1" i="0" u="none" baseline="-25000">
              <a:solidFill>
                <a:srgbClr val="FF00FF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285750</xdr:colOff>
      <xdr:row>19</xdr:row>
      <xdr:rowOff>9525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11858625" y="41243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16</xdr:col>
      <xdr:colOff>123825</xdr:colOff>
      <xdr:row>8</xdr:row>
      <xdr:rowOff>19050</xdr:rowOff>
    </xdr:from>
    <xdr:to>
      <xdr:col>16</xdr:col>
      <xdr:colOff>285750</xdr:colOff>
      <xdr:row>8</xdr:row>
      <xdr:rowOff>171450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11449050" y="1762125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</a:rPr>
            <a:t>1</a:t>
          </a:r>
        </a:p>
      </xdr:txBody>
    </xdr:sp>
    <xdr:clientData/>
  </xdr:twoCellAnchor>
  <xdr:twoCellAnchor>
    <xdr:from>
      <xdr:col>10</xdr:col>
      <xdr:colOff>390525</xdr:colOff>
      <xdr:row>21</xdr:row>
      <xdr:rowOff>47625</xdr:rowOff>
    </xdr:from>
    <xdr:to>
      <xdr:col>14</xdr:col>
      <xdr:colOff>247650</xdr:colOff>
      <xdr:row>21</xdr:row>
      <xdr:rowOff>47625</xdr:rowOff>
    </xdr:to>
    <xdr:sp>
      <xdr:nvSpPr>
        <xdr:cNvPr id="21" name="Line 38"/>
        <xdr:cNvSpPr>
          <a:spLocks/>
        </xdr:cNvSpPr>
      </xdr:nvSpPr>
      <xdr:spPr>
        <a:xfrm flipH="1">
          <a:off x="8515350" y="4886325"/>
          <a:ext cx="19907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38100</xdr:rowOff>
    </xdr:from>
    <xdr:to>
      <xdr:col>10</xdr:col>
      <xdr:colOff>419100</xdr:colOff>
      <xdr:row>21</xdr:row>
      <xdr:rowOff>114300</xdr:rowOff>
    </xdr:to>
    <xdr:sp>
      <xdr:nvSpPr>
        <xdr:cNvPr id="22" name="Line 39"/>
        <xdr:cNvSpPr>
          <a:spLocks/>
        </xdr:cNvSpPr>
      </xdr:nvSpPr>
      <xdr:spPr>
        <a:xfrm flipV="1">
          <a:off x="8401050" y="4876800"/>
          <a:ext cx="142875" cy="76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457200</xdr:colOff>
      <xdr:row>20</xdr:row>
      <xdr:rowOff>9525</xdr:rowOff>
    </xdr:from>
    <xdr:to>
      <xdr:col>17</xdr:col>
      <xdr:colOff>57150</xdr:colOff>
      <xdr:row>20</xdr:row>
      <xdr:rowOff>180975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11782425" y="4610100"/>
          <a:ext cx="133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</a:rPr>
            <a:t>2</a:t>
          </a:r>
        </a:p>
      </xdr:txBody>
    </xdr:sp>
    <xdr:clientData/>
  </xdr:twoCellAnchor>
  <xdr:twoCellAnchor>
    <xdr:from>
      <xdr:col>16</xdr:col>
      <xdr:colOff>9525</xdr:colOff>
      <xdr:row>20</xdr:row>
      <xdr:rowOff>104775</xdr:rowOff>
    </xdr:from>
    <xdr:to>
      <xdr:col>16</xdr:col>
      <xdr:colOff>9525</xdr:colOff>
      <xdr:row>22</xdr:row>
      <xdr:rowOff>19050</xdr:rowOff>
    </xdr:to>
    <xdr:sp>
      <xdr:nvSpPr>
        <xdr:cNvPr id="24" name="Line 41"/>
        <xdr:cNvSpPr>
          <a:spLocks/>
        </xdr:cNvSpPr>
      </xdr:nvSpPr>
      <xdr:spPr>
        <a:xfrm>
          <a:off x="11334750" y="47053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15</xdr:col>
      <xdr:colOff>523875</xdr:colOff>
      <xdr:row>18</xdr:row>
      <xdr:rowOff>9525</xdr:rowOff>
    </xdr:to>
    <xdr:sp>
      <xdr:nvSpPr>
        <xdr:cNvPr id="25" name="Line 42"/>
        <xdr:cNvSpPr>
          <a:spLocks/>
        </xdr:cNvSpPr>
      </xdr:nvSpPr>
      <xdr:spPr>
        <a:xfrm>
          <a:off x="10258425" y="41338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17</xdr:row>
      <xdr:rowOff>19050</xdr:rowOff>
    </xdr:from>
    <xdr:to>
      <xdr:col>15</xdr:col>
      <xdr:colOff>466725</xdr:colOff>
      <xdr:row>17</xdr:row>
      <xdr:rowOff>190500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10287000" y="3905250"/>
          <a:ext cx="971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Isentropic process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228600</xdr:colOff>
      <xdr:row>21</xdr:row>
      <xdr:rowOff>0</xdr:rowOff>
    </xdr:from>
    <xdr:to>
      <xdr:col>14</xdr:col>
      <xdr:colOff>304800</xdr:colOff>
      <xdr:row>21</xdr:row>
      <xdr:rowOff>76200</xdr:rowOff>
    </xdr:to>
    <xdr:sp>
      <xdr:nvSpPr>
        <xdr:cNvPr id="27" name="Oval 44"/>
        <xdr:cNvSpPr>
          <a:spLocks/>
        </xdr:cNvSpPr>
      </xdr:nvSpPr>
      <xdr:spPr>
        <a:xfrm>
          <a:off x="10487025" y="48387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47625</xdr:rowOff>
    </xdr:from>
    <xdr:to>
      <xdr:col>14</xdr:col>
      <xdr:colOff>457200</xdr:colOff>
      <xdr:row>20</xdr:row>
      <xdr:rowOff>190500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10410825" y="4648200"/>
          <a:ext cx="304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</a:rPr>
            <a:t>2sat</a:t>
          </a:r>
        </a:p>
      </xdr:txBody>
    </xdr:sp>
    <xdr:clientData/>
  </xdr:twoCellAnchor>
  <xdr:twoCellAnchor>
    <xdr:from>
      <xdr:col>11</xdr:col>
      <xdr:colOff>161925</xdr:colOff>
      <xdr:row>7</xdr:row>
      <xdr:rowOff>0</xdr:rowOff>
    </xdr:from>
    <xdr:to>
      <xdr:col>11</xdr:col>
      <xdr:colOff>523875</xdr:colOff>
      <xdr:row>7</xdr:row>
      <xdr:rowOff>171450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820150" y="15049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12</xdr:col>
      <xdr:colOff>276225</xdr:colOff>
      <xdr:row>7</xdr:row>
      <xdr:rowOff>9525</xdr:rowOff>
    </xdr:from>
    <xdr:to>
      <xdr:col>13</xdr:col>
      <xdr:colOff>0</xdr:colOff>
      <xdr:row>8</xdr:row>
      <xdr:rowOff>28575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9467850" y="1514475"/>
          <a:ext cx="257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ºC</a:t>
          </a:r>
        </a:p>
      </xdr:txBody>
    </xdr:sp>
    <xdr:clientData/>
  </xdr:twoCellAnchor>
  <xdr:twoCellAnchor>
    <xdr:from>
      <xdr:col>9</xdr:col>
      <xdr:colOff>323850</xdr:colOff>
      <xdr:row>7</xdr:row>
      <xdr:rowOff>238125</xdr:rowOff>
    </xdr:from>
    <xdr:to>
      <xdr:col>16</xdr:col>
      <xdr:colOff>200025</xdr:colOff>
      <xdr:row>7</xdr:row>
      <xdr:rowOff>238125</xdr:rowOff>
    </xdr:to>
    <xdr:sp>
      <xdr:nvSpPr>
        <xdr:cNvPr id="31" name="Line 18"/>
        <xdr:cNvSpPr>
          <a:spLocks/>
        </xdr:cNvSpPr>
      </xdr:nvSpPr>
      <xdr:spPr>
        <a:xfrm>
          <a:off x="7915275" y="1743075"/>
          <a:ext cx="36099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504825</xdr:colOff>
      <xdr:row>7</xdr:row>
      <xdr:rowOff>152400</xdr:rowOff>
    </xdr:from>
    <xdr:to>
      <xdr:col>16</xdr:col>
      <xdr:colOff>47625</xdr:colOff>
      <xdr:row>8</xdr:row>
      <xdr:rowOff>28575</xdr:rowOff>
    </xdr:to>
    <xdr:sp>
      <xdr:nvSpPr>
        <xdr:cNvPr id="32" name="Oval 32"/>
        <xdr:cNvSpPr>
          <a:spLocks/>
        </xdr:cNvSpPr>
      </xdr:nvSpPr>
      <xdr:spPr>
        <a:xfrm>
          <a:off x="11296650" y="1657350"/>
          <a:ext cx="76200" cy="1143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19</xdr:row>
      <xdr:rowOff>9525</xdr:rowOff>
    </xdr:from>
    <xdr:to>
      <xdr:col>12</xdr:col>
      <xdr:colOff>200025</xdr:colOff>
      <xdr:row>20</xdr:row>
      <xdr:rowOff>0</xdr:rowOff>
    </xdr:to>
    <xdr:sp>
      <xdr:nvSpPr>
        <xdr:cNvPr id="33" name="Text Box 48"/>
        <xdr:cNvSpPr txBox="1">
          <a:spLocks noChangeArrowheads="1"/>
        </xdr:cNvSpPr>
      </xdr:nvSpPr>
      <xdr:spPr>
        <a:xfrm>
          <a:off x="9096375" y="4371975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16</xdr:col>
      <xdr:colOff>200025</xdr:colOff>
      <xdr:row>14</xdr:row>
      <xdr:rowOff>28575</xdr:rowOff>
    </xdr:from>
    <xdr:to>
      <xdr:col>16</xdr:col>
      <xdr:colOff>247650</xdr:colOff>
      <xdr:row>15</xdr:row>
      <xdr:rowOff>152400</xdr:rowOff>
    </xdr:to>
    <xdr:sp>
      <xdr:nvSpPr>
        <xdr:cNvPr id="34" name="Line 49"/>
        <xdr:cNvSpPr>
          <a:spLocks/>
        </xdr:cNvSpPr>
      </xdr:nvSpPr>
      <xdr:spPr>
        <a:xfrm>
          <a:off x="11525250" y="3200400"/>
          <a:ext cx="47625" cy="3619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</xdr:col>
      <xdr:colOff>333375</xdr:colOff>
      <xdr:row>20</xdr:row>
      <xdr:rowOff>19050</xdr:rowOff>
    </xdr:from>
    <xdr:ext cx="295275" cy="257175"/>
    <xdr:sp>
      <xdr:nvSpPr>
        <xdr:cNvPr id="35" name="TextBox 36"/>
        <xdr:cNvSpPr txBox="1">
          <a:spLocks noChangeArrowheads="1"/>
        </xdr:cNvSpPr>
      </xdr:nvSpPr>
      <xdr:spPr>
        <a:xfrm>
          <a:off x="9525000" y="4619625"/>
          <a:ext cx="295275" cy="257175"/>
        </a:xfrm>
        <a:prstGeom prst="rect">
          <a:avLst/>
        </a:prstGeom>
        <a:solidFill>
          <a:srgbClr val="000000">
            <a:alpha val="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oneCellAnchor>
  <xdr:twoCellAnchor>
    <xdr:from>
      <xdr:col>11</xdr:col>
      <xdr:colOff>352425</xdr:colOff>
      <xdr:row>19</xdr:row>
      <xdr:rowOff>180975</xdr:rowOff>
    </xdr:from>
    <xdr:to>
      <xdr:col>16</xdr:col>
      <xdr:colOff>352425</xdr:colOff>
      <xdr:row>19</xdr:row>
      <xdr:rowOff>190500</xdr:rowOff>
    </xdr:to>
    <xdr:sp>
      <xdr:nvSpPr>
        <xdr:cNvPr id="36" name="Straight Connector 38"/>
        <xdr:cNvSpPr>
          <a:spLocks/>
        </xdr:cNvSpPr>
      </xdr:nvSpPr>
      <xdr:spPr>
        <a:xfrm flipH="1" flipV="1">
          <a:off x="9010650" y="4543425"/>
          <a:ext cx="266700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12</xdr:row>
      <xdr:rowOff>123825</xdr:rowOff>
    </xdr:from>
    <xdr:to>
      <xdr:col>19</xdr:col>
      <xdr:colOff>266700</xdr:colOff>
      <xdr:row>22</xdr:row>
      <xdr:rowOff>85725</xdr:rowOff>
    </xdr:to>
    <xdr:sp>
      <xdr:nvSpPr>
        <xdr:cNvPr id="1" name="Freeform 99"/>
        <xdr:cNvSpPr>
          <a:spLocks/>
        </xdr:cNvSpPr>
      </xdr:nvSpPr>
      <xdr:spPr>
        <a:xfrm>
          <a:off x="10106025" y="2200275"/>
          <a:ext cx="2495550" cy="1771650"/>
        </a:xfrm>
        <a:custGeom>
          <a:pathLst>
            <a:path h="203" w="257">
              <a:moveTo>
                <a:pt x="7" y="7"/>
              </a:moveTo>
              <a:cubicBezTo>
                <a:pt x="3" y="3"/>
                <a:pt x="0" y="0"/>
                <a:pt x="15" y="8"/>
              </a:cubicBezTo>
              <a:cubicBezTo>
                <a:pt x="30" y="16"/>
                <a:pt x="71" y="40"/>
                <a:pt x="95" y="55"/>
              </a:cubicBezTo>
              <a:cubicBezTo>
                <a:pt x="119" y="70"/>
                <a:pt x="140" y="83"/>
                <a:pt x="162" y="101"/>
              </a:cubicBezTo>
              <a:cubicBezTo>
                <a:pt x="184" y="119"/>
                <a:pt x="210" y="149"/>
                <a:pt x="226" y="166"/>
              </a:cubicBezTo>
              <a:cubicBezTo>
                <a:pt x="242" y="183"/>
                <a:pt x="252" y="197"/>
                <a:pt x="257" y="203"/>
              </a:cubicBezTo>
            </a:path>
          </a:pathLst>
        </a:custGeom>
        <a:noFill/>
        <a:ln w="38100" cmpd="sng">
          <a:solidFill>
            <a:srgbClr val="C55A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285750</xdr:colOff>
      <xdr:row>8</xdr:row>
      <xdr:rowOff>0</xdr:rowOff>
    </xdr:from>
    <xdr:to>
      <xdr:col>14</xdr:col>
      <xdr:colOff>190500</xdr:colOff>
      <xdr:row>10</xdr:row>
      <xdr:rowOff>47625</xdr:rowOff>
    </xdr:to>
    <xdr:sp>
      <xdr:nvSpPr>
        <xdr:cNvPr id="2" name="Oval 1"/>
        <xdr:cNvSpPr>
          <a:spLocks/>
        </xdr:cNvSpPr>
      </xdr:nvSpPr>
      <xdr:spPr>
        <a:xfrm>
          <a:off x="9420225" y="1314450"/>
          <a:ext cx="4381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9525</xdr:rowOff>
    </xdr:from>
    <xdr:to>
      <xdr:col>13</xdr:col>
      <xdr:colOff>304800</xdr:colOff>
      <xdr:row>9</xdr:row>
      <xdr:rowOff>19050</xdr:rowOff>
    </xdr:to>
    <xdr:sp>
      <xdr:nvSpPr>
        <xdr:cNvPr id="3" name="Line 2"/>
        <xdr:cNvSpPr>
          <a:spLocks/>
        </xdr:cNvSpPr>
      </xdr:nvSpPr>
      <xdr:spPr>
        <a:xfrm flipV="1">
          <a:off x="8629650" y="15144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18</xdr:col>
      <xdr:colOff>285750</xdr:colOff>
      <xdr:row>9</xdr:row>
      <xdr:rowOff>0</xdr:rowOff>
    </xdr:to>
    <xdr:sp>
      <xdr:nvSpPr>
        <xdr:cNvPr id="4" name="Line 3"/>
        <xdr:cNvSpPr>
          <a:spLocks/>
        </xdr:cNvSpPr>
      </xdr:nvSpPr>
      <xdr:spPr>
        <a:xfrm>
          <a:off x="9848850" y="15049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9</xdr:row>
      <xdr:rowOff>19050</xdr:rowOff>
    </xdr:from>
    <xdr:to>
      <xdr:col>12</xdr:col>
      <xdr:colOff>57150</xdr:colOff>
      <xdr:row>9</xdr:row>
      <xdr:rowOff>19050</xdr:rowOff>
    </xdr:to>
    <xdr:sp>
      <xdr:nvSpPr>
        <xdr:cNvPr id="5" name="Line 5"/>
        <xdr:cNvSpPr>
          <a:spLocks/>
        </xdr:cNvSpPr>
      </xdr:nvSpPr>
      <xdr:spPr>
        <a:xfrm>
          <a:off x="8334375" y="1524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428625</xdr:colOff>
      <xdr:row>8</xdr:row>
      <xdr:rowOff>142875</xdr:rowOff>
    </xdr:from>
    <xdr:to>
      <xdr:col>16</xdr:col>
      <xdr:colOff>504825</xdr:colOff>
      <xdr:row>9</xdr:row>
      <xdr:rowOff>28575</xdr:rowOff>
    </xdr:to>
    <xdr:sp>
      <xdr:nvSpPr>
        <xdr:cNvPr id="6" name="Oval 15"/>
        <xdr:cNvSpPr>
          <a:spLocks/>
        </xdr:cNvSpPr>
      </xdr:nvSpPr>
      <xdr:spPr>
        <a:xfrm>
          <a:off x="11163300" y="14573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161925</xdr:rowOff>
    </xdr:from>
    <xdr:to>
      <xdr:col>13</xdr:col>
      <xdr:colOff>38100</xdr:colOff>
      <xdr:row>9</xdr:row>
      <xdr:rowOff>47625</xdr:rowOff>
    </xdr:to>
    <xdr:sp>
      <xdr:nvSpPr>
        <xdr:cNvPr id="7" name="Oval 16"/>
        <xdr:cNvSpPr>
          <a:spLocks/>
        </xdr:cNvSpPr>
      </xdr:nvSpPr>
      <xdr:spPr>
        <a:xfrm>
          <a:off x="9096375" y="14763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466725</xdr:colOff>
      <xdr:row>25</xdr:row>
      <xdr:rowOff>47625</xdr:rowOff>
    </xdr:from>
    <xdr:to>
      <xdr:col>16</xdr:col>
      <xdr:colOff>447675</xdr:colOff>
      <xdr:row>36</xdr:row>
      <xdr:rowOff>0</xdr:rowOff>
    </xdr:to>
    <xdr:grpSp>
      <xdr:nvGrpSpPr>
        <xdr:cNvPr id="8" name="Group 50"/>
        <xdr:cNvGrpSpPr>
          <a:grpSpLocks/>
        </xdr:cNvGrpSpPr>
      </xdr:nvGrpSpPr>
      <xdr:grpSpPr>
        <a:xfrm>
          <a:off x="8534400" y="4476750"/>
          <a:ext cx="2647950" cy="2152650"/>
          <a:chOff x="848" y="313"/>
          <a:chExt cx="278" cy="222"/>
        </a:xfrm>
        <a:solidFill>
          <a:srgbClr val="FFFFFF"/>
        </a:solidFill>
      </xdr:grpSpPr>
      <xdr:sp>
        <xdr:nvSpPr>
          <xdr:cNvPr id="9" name="Freeform 22"/>
          <xdr:cNvSpPr>
            <a:spLocks/>
          </xdr:cNvSpPr>
        </xdr:nvSpPr>
        <xdr:spPr>
          <a:xfrm>
            <a:off x="934" y="323"/>
            <a:ext cx="98" cy="170"/>
          </a:xfrm>
          <a:custGeom>
            <a:pathLst>
              <a:path h="162" w="98">
                <a:moveTo>
                  <a:pt x="0" y="162"/>
                </a:moveTo>
                <a:cubicBezTo>
                  <a:pt x="8" y="143"/>
                  <a:pt x="17" y="124"/>
                  <a:pt x="33" y="97"/>
                </a:cubicBezTo>
                <a:cubicBezTo>
                  <a:pt x="49" y="70"/>
                  <a:pt x="73" y="35"/>
                  <a:pt x="98" y="0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23"/>
          <xdr:cNvSpPr>
            <a:spLocks/>
          </xdr:cNvSpPr>
        </xdr:nvSpPr>
        <xdr:spPr>
          <a:xfrm flipH="1">
            <a:off x="985" y="389"/>
            <a:ext cx="134" cy="0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24"/>
          <xdr:cNvSpPr>
            <a:spLocks/>
          </xdr:cNvSpPr>
        </xdr:nvSpPr>
        <xdr:spPr>
          <a:xfrm>
            <a:off x="909" y="388"/>
            <a:ext cx="78" cy="87"/>
          </a:xfrm>
          <a:custGeom>
            <a:pathLst>
              <a:path h="83" w="78">
                <a:moveTo>
                  <a:pt x="0" y="83"/>
                </a:moveTo>
                <a:cubicBezTo>
                  <a:pt x="15" y="65"/>
                  <a:pt x="30" y="47"/>
                  <a:pt x="43" y="33"/>
                </a:cubicBezTo>
                <a:cubicBezTo>
                  <a:pt x="56" y="19"/>
                  <a:pt x="67" y="9"/>
                  <a:pt x="78" y="0"/>
                </a:cubicBezTo>
              </a:path>
            </a:pathLst>
          </a:cu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25"/>
          <xdr:cNvSpPr>
            <a:spLocks/>
          </xdr:cNvSpPr>
        </xdr:nvSpPr>
        <xdr:spPr>
          <a:xfrm>
            <a:off x="988" y="35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26"/>
          <xdr:cNvSpPr>
            <a:spLocks/>
          </xdr:cNvSpPr>
        </xdr:nvSpPr>
        <xdr:spPr>
          <a:xfrm>
            <a:off x="880" y="340"/>
            <a:ext cx="140" cy="118"/>
          </a:xfrm>
          <a:custGeom>
            <a:pathLst>
              <a:path h="118" w="140">
                <a:moveTo>
                  <a:pt x="0" y="118"/>
                </a:moveTo>
                <a:cubicBezTo>
                  <a:pt x="20" y="95"/>
                  <a:pt x="40" y="73"/>
                  <a:pt x="59" y="56"/>
                </a:cubicBezTo>
                <a:cubicBezTo>
                  <a:pt x="78" y="39"/>
                  <a:pt x="100" y="24"/>
                  <a:pt x="113" y="15"/>
                </a:cubicBezTo>
                <a:cubicBezTo>
                  <a:pt x="126" y="6"/>
                  <a:pt x="133" y="3"/>
                  <a:pt x="140" y="0"/>
                </a:cubicBezTo>
              </a:path>
            </a:pathLst>
          </a:cu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27"/>
          <xdr:cNvSpPr>
            <a:spLocks/>
          </xdr:cNvSpPr>
        </xdr:nvSpPr>
        <xdr:spPr>
          <a:xfrm flipH="1" flipV="1">
            <a:off x="854" y="313"/>
            <a:ext cx="3" cy="2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28"/>
          <xdr:cNvSpPr>
            <a:spLocks/>
          </xdr:cNvSpPr>
        </xdr:nvSpPr>
        <xdr:spPr>
          <a:xfrm>
            <a:off x="848" y="514"/>
            <a:ext cx="2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29"/>
          <xdr:cNvSpPr txBox="1">
            <a:spLocks noChangeArrowheads="1"/>
          </xdr:cNvSpPr>
        </xdr:nvSpPr>
        <xdr:spPr>
          <a:xfrm>
            <a:off x="994" y="393"/>
            <a:ext cx="1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7" name="Oval 31"/>
          <xdr:cNvSpPr>
            <a:spLocks/>
          </xdr:cNvSpPr>
        </xdr:nvSpPr>
        <xdr:spPr>
          <a:xfrm>
            <a:off x="984" y="384"/>
            <a:ext cx="8" cy="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Oval 34"/>
          <xdr:cNvSpPr>
            <a:spLocks/>
          </xdr:cNvSpPr>
        </xdr:nvSpPr>
        <xdr:spPr>
          <a:xfrm>
            <a:off x="983" y="356"/>
            <a:ext cx="8" cy="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35"/>
          <xdr:cNvSpPr txBox="1">
            <a:spLocks noChangeArrowheads="1"/>
          </xdr:cNvSpPr>
        </xdr:nvSpPr>
        <xdr:spPr>
          <a:xfrm>
            <a:off x="995" y="32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20" name="Text Box 36"/>
          <xdr:cNvSpPr txBox="1">
            <a:spLocks noChangeArrowheads="1"/>
          </xdr:cNvSpPr>
        </xdr:nvSpPr>
        <xdr:spPr>
          <a:xfrm>
            <a:off x="968" y="518"/>
            <a:ext cx="5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4o</a:t>
            </a:r>
          </a:p>
        </xdr:txBody>
      </xdr:sp>
      <xdr:sp>
        <xdr:nvSpPr>
          <xdr:cNvPr id="21" name="Line 37"/>
          <xdr:cNvSpPr>
            <a:spLocks/>
          </xdr:cNvSpPr>
        </xdr:nvSpPr>
        <xdr:spPr>
          <a:xfrm flipV="1">
            <a:off x="990" y="347"/>
            <a:ext cx="1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Oval 41"/>
          <xdr:cNvSpPr>
            <a:spLocks/>
          </xdr:cNvSpPr>
        </xdr:nvSpPr>
        <xdr:spPr>
          <a:xfrm>
            <a:off x="996" y="343"/>
            <a:ext cx="8" cy="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42"/>
          <xdr:cNvSpPr txBox="1">
            <a:spLocks noChangeArrowheads="1"/>
          </xdr:cNvSpPr>
        </xdr:nvSpPr>
        <xdr:spPr>
          <a:xfrm>
            <a:off x="960" y="343"/>
            <a:ext cx="2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4o</a:t>
            </a:r>
          </a:p>
        </xdr:txBody>
      </xdr:sp>
      <xdr:sp>
        <xdr:nvSpPr>
          <xdr:cNvPr id="24" name="Text Box 47"/>
          <xdr:cNvSpPr txBox="1">
            <a:spLocks noChangeArrowheads="1"/>
          </xdr:cNvSpPr>
        </xdr:nvSpPr>
        <xdr:spPr>
          <a:xfrm>
            <a:off x="1005" y="447"/>
            <a:ext cx="104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Saturated liquid line</a:t>
            </a:r>
          </a:p>
        </xdr:txBody>
      </xdr:sp>
      <xdr:sp>
        <xdr:nvSpPr>
          <xdr:cNvPr id="25" name="Line 49"/>
          <xdr:cNvSpPr>
            <a:spLocks/>
          </xdr:cNvSpPr>
        </xdr:nvSpPr>
        <xdr:spPr>
          <a:xfrm flipH="1" flipV="1">
            <a:off x="966" y="433"/>
            <a:ext cx="35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8</xdr:row>
      <xdr:rowOff>76200</xdr:rowOff>
    </xdr:from>
    <xdr:to>
      <xdr:col>14</xdr:col>
      <xdr:colOff>152400</xdr:colOff>
      <xdr:row>9</xdr:row>
      <xdr:rowOff>123825</xdr:rowOff>
    </xdr:to>
    <xdr:sp>
      <xdr:nvSpPr>
        <xdr:cNvPr id="26" name="Text Box 51"/>
        <xdr:cNvSpPr txBox="1">
          <a:spLocks noChangeArrowheads="1"/>
        </xdr:cNvSpPr>
      </xdr:nvSpPr>
      <xdr:spPr>
        <a:xfrm>
          <a:off x="9486900" y="139065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PRV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428625</xdr:colOff>
      <xdr:row>9</xdr:row>
      <xdr:rowOff>0</xdr:rowOff>
    </xdr:to>
    <xdr:sp>
      <xdr:nvSpPr>
        <xdr:cNvPr id="27" name="Line 54"/>
        <xdr:cNvSpPr>
          <a:spLocks/>
        </xdr:cNvSpPr>
      </xdr:nvSpPr>
      <xdr:spPr>
        <a:xfrm>
          <a:off x="11801475" y="1504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342900</xdr:colOff>
      <xdr:row>9</xdr:row>
      <xdr:rowOff>76200</xdr:rowOff>
    </xdr:from>
    <xdr:to>
      <xdr:col>13</xdr:col>
      <xdr:colOff>171450</xdr:colOff>
      <xdr:row>10</xdr:row>
      <xdr:rowOff>47625</xdr:rowOff>
    </xdr:to>
    <xdr:sp>
      <xdr:nvSpPr>
        <xdr:cNvPr id="28" name="Text Box 55"/>
        <xdr:cNvSpPr txBox="1">
          <a:spLocks noChangeArrowheads="1"/>
        </xdr:cNvSpPr>
      </xdr:nvSpPr>
      <xdr:spPr>
        <a:xfrm>
          <a:off x="8943975" y="158115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16</xdr:col>
      <xdr:colOff>352425</xdr:colOff>
      <xdr:row>9</xdr:row>
      <xdr:rowOff>76200</xdr:rowOff>
    </xdr:from>
    <xdr:to>
      <xdr:col>17</xdr:col>
      <xdr:colOff>180975</xdr:colOff>
      <xdr:row>10</xdr:row>
      <xdr:rowOff>47625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11087100" y="158115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285750</xdr:colOff>
      <xdr:row>9</xdr:row>
      <xdr:rowOff>47625</xdr:rowOff>
    </xdr:from>
    <xdr:to>
      <xdr:col>11</xdr:col>
      <xdr:colOff>533400</xdr:colOff>
      <xdr:row>10</xdr:row>
      <xdr:rowOff>47625</xdr:rowOff>
    </xdr:to>
    <xdr:sp>
      <xdr:nvSpPr>
        <xdr:cNvPr id="30" name="Text Box 60"/>
        <xdr:cNvSpPr txBox="1">
          <a:spLocks noChangeArrowheads="1"/>
        </xdr:cNvSpPr>
      </xdr:nvSpPr>
      <xdr:spPr>
        <a:xfrm>
          <a:off x="8353425" y="1552575"/>
          <a:ext cx="247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12</xdr:col>
      <xdr:colOff>9525</xdr:colOff>
      <xdr:row>11</xdr:row>
      <xdr:rowOff>142875</xdr:rowOff>
    </xdr:from>
    <xdr:to>
      <xdr:col>12</xdr:col>
      <xdr:colOff>9525</xdr:colOff>
      <xdr:row>23</xdr:row>
      <xdr:rowOff>47625</xdr:rowOff>
    </xdr:to>
    <xdr:sp>
      <xdr:nvSpPr>
        <xdr:cNvPr id="31" name="Line 61"/>
        <xdr:cNvSpPr>
          <a:spLocks/>
        </xdr:cNvSpPr>
      </xdr:nvSpPr>
      <xdr:spPr>
        <a:xfrm flipV="1">
          <a:off x="8610600" y="202882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438150</xdr:colOff>
      <xdr:row>23</xdr:row>
      <xdr:rowOff>9525</xdr:rowOff>
    </xdr:from>
    <xdr:to>
      <xdr:col>19</xdr:col>
      <xdr:colOff>133350</xdr:colOff>
      <xdr:row>23</xdr:row>
      <xdr:rowOff>9525</xdr:rowOff>
    </xdr:to>
    <xdr:sp>
      <xdr:nvSpPr>
        <xdr:cNvPr id="32" name="Line 62"/>
        <xdr:cNvSpPr>
          <a:spLocks/>
        </xdr:cNvSpPr>
      </xdr:nvSpPr>
      <xdr:spPr>
        <a:xfrm>
          <a:off x="8505825" y="4057650"/>
          <a:ext cx="3962400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13</xdr:row>
      <xdr:rowOff>0</xdr:rowOff>
    </xdr:from>
    <xdr:to>
      <xdr:col>12</xdr:col>
      <xdr:colOff>57150</xdr:colOff>
      <xdr:row>13</xdr:row>
      <xdr:rowOff>0</xdr:rowOff>
    </xdr:to>
    <xdr:sp>
      <xdr:nvSpPr>
        <xdr:cNvPr id="33" name="Line 63"/>
        <xdr:cNvSpPr>
          <a:spLocks/>
        </xdr:cNvSpPr>
      </xdr:nvSpPr>
      <xdr:spPr>
        <a:xfrm>
          <a:off x="8391525" y="2266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15</xdr:row>
      <xdr:rowOff>0</xdr:rowOff>
    </xdr:from>
    <xdr:to>
      <xdr:col>12</xdr:col>
      <xdr:colOff>57150</xdr:colOff>
      <xdr:row>15</xdr:row>
      <xdr:rowOff>0</xdr:rowOff>
    </xdr:to>
    <xdr:sp>
      <xdr:nvSpPr>
        <xdr:cNvPr id="34" name="Line 64"/>
        <xdr:cNvSpPr>
          <a:spLocks/>
        </xdr:cNvSpPr>
      </xdr:nvSpPr>
      <xdr:spPr>
        <a:xfrm>
          <a:off x="8391525" y="2647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16</xdr:row>
      <xdr:rowOff>142875</xdr:rowOff>
    </xdr:from>
    <xdr:to>
      <xdr:col>12</xdr:col>
      <xdr:colOff>123825</xdr:colOff>
      <xdr:row>16</xdr:row>
      <xdr:rowOff>142875</xdr:rowOff>
    </xdr:to>
    <xdr:sp>
      <xdr:nvSpPr>
        <xdr:cNvPr id="35" name="Line 65"/>
        <xdr:cNvSpPr>
          <a:spLocks/>
        </xdr:cNvSpPr>
      </xdr:nvSpPr>
      <xdr:spPr>
        <a:xfrm>
          <a:off x="8382000" y="29813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19</xdr:row>
      <xdr:rowOff>9525</xdr:rowOff>
    </xdr:from>
    <xdr:to>
      <xdr:col>12</xdr:col>
      <xdr:colOff>152400</xdr:colOff>
      <xdr:row>19</xdr:row>
      <xdr:rowOff>9525</xdr:rowOff>
    </xdr:to>
    <xdr:sp>
      <xdr:nvSpPr>
        <xdr:cNvPr id="36" name="Line 66"/>
        <xdr:cNvSpPr>
          <a:spLocks/>
        </xdr:cNvSpPr>
      </xdr:nvSpPr>
      <xdr:spPr>
        <a:xfrm>
          <a:off x="8391525" y="34099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21</xdr:row>
      <xdr:rowOff>0</xdr:rowOff>
    </xdr:from>
    <xdr:to>
      <xdr:col>12</xdr:col>
      <xdr:colOff>171450</xdr:colOff>
      <xdr:row>21</xdr:row>
      <xdr:rowOff>0</xdr:rowOff>
    </xdr:to>
    <xdr:sp>
      <xdr:nvSpPr>
        <xdr:cNvPr id="37" name="Line 67"/>
        <xdr:cNvSpPr>
          <a:spLocks/>
        </xdr:cNvSpPr>
      </xdr:nvSpPr>
      <xdr:spPr>
        <a:xfrm>
          <a:off x="8382000" y="3724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133350</xdr:colOff>
      <xdr:row>23</xdr:row>
      <xdr:rowOff>0</xdr:rowOff>
    </xdr:from>
    <xdr:to>
      <xdr:col>19</xdr:col>
      <xdr:colOff>342900</xdr:colOff>
      <xdr:row>23</xdr:row>
      <xdr:rowOff>142875</xdr:rowOff>
    </xdr:to>
    <xdr:sp>
      <xdr:nvSpPr>
        <xdr:cNvPr id="38" name="Text Box 68"/>
        <xdr:cNvSpPr txBox="1">
          <a:spLocks noChangeArrowheads="1"/>
        </xdr:cNvSpPr>
      </xdr:nvSpPr>
      <xdr:spPr>
        <a:xfrm>
          <a:off x="12468225" y="4048125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s</a:t>
          </a:r>
        </a:p>
      </xdr:txBody>
    </xdr:sp>
    <xdr:clientData/>
  </xdr:twoCellAnchor>
  <xdr:twoCellAnchor>
    <xdr:from>
      <xdr:col>12</xdr:col>
      <xdr:colOff>95250</xdr:colOff>
      <xdr:row>11</xdr:row>
      <xdr:rowOff>28575</xdr:rowOff>
    </xdr:from>
    <xdr:to>
      <xdr:col>12</xdr:col>
      <xdr:colOff>209550</xdr:colOff>
      <xdr:row>11</xdr:row>
      <xdr:rowOff>171450</xdr:rowOff>
    </xdr:to>
    <xdr:sp>
      <xdr:nvSpPr>
        <xdr:cNvPr id="39" name="Text Box 69"/>
        <xdr:cNvSpPr txBox="1">
          <a:spLocks noChangeArrowheads="1"/>
        </xdr:cNvSpPr>
      </xdr:nvSpPr>
      <xdr:spPr>
        <a:xfrm>
          <a:off x="8696325" y="1914525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18</xdr:col>
      <xdr:colOff>333375</xdr:colOff>
      <xdr:row>12</xdr:row>
      <xdr:rowOff>47625</xdr:rowOff>
    </xdr:from>
    <xdr:to>
      <xdr:col>18</xdr:col>
      <xdr:colOff>333375</xdr:colOff>
      <xdr:row>23</xdr:row>
      <xdr:rowOff>85725</xdr:rowOff>
    </xdr:to>
    <xdr:sp>
      <xdr:nvSpPr>
        <xdr:cNvPr id="40" name="Line 70"/>
        <xdr:cNvSpPr>
          <a:spLocks/>
        </xdr:cNvSpPr>
      </xdr:nvSpPr>
      <xdr:spPr>
        <a:xfrm flipV="1">
          <a:off x="12134850" y="2124075"/>
          <a:ext cx="0" cy="2009775"/>
        </a:xfrm>
        <a:prstGeom prst="line">
          <a:avLst/>
        </a:prstGeom>
        <a:noFill/>
        <a:ln w="9525" cmpd="sng">
          <a:solidFill>
            <a:srgbClr val="8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523875</xdr:colOff>
      <xdr:row>12</xdr:row>
      <xdr:rowOff>28575</xdr:rowOff>
    </xdr:from>
    <xdr:to>
      <xdr:col>18</xdr:col>
      <xdr:colOff>523875</xdr:colOff>
      <xdr:row>23</xdr:row>
      <xdr:rowOff>47625</xdr:rowOff>
    </xdr:to>
    <xdr:sp>
      <xdr:nvSpPr>
        <xdr:cNvPr id="41" name="Line 71"/>
        <xdr:cNvSpPr>
          <a:spLocks/>
        </xdr:cNvSpPr>
      </xdr:nvSpPr>
      <xdr:spPr>
        <a:xfrm flipV="1">
          <a:off x="12325350" y="2105025"/>
          <a:ext cx="0" cy="1990725"/>
        </a:xfrm>
        <a:prstGeom prst="line">
          <a:avLst/>
        </a:prstGeom>
        <a:noFill/>
        <a:ln w="9525" cmpd="sng">
          <a:solidFill>
            <a:srgbClr val="8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0</xdr:rowOff>
    </xdr:from>
    <xdr:to>
      <xdr:col>18</xdr:col>
      <xdr:colOff>361950</xdr:colOff>
      <xdr:row>14</xdr:row>
      <xdr:rowOff>0</xdr:rowOff>
    </xdr:to>
    <xdr:sp>
      <xdr:nvSpPr>
        <xdr:cNvPr id="42" name="Line 72"/>
        <xdr:cNvSpPr>
          <a:spLocks/>
        </xdr:cNvSpPr>
      </xdr:nvSpPr>
      <xdr:spPr>
        <a:xfrm>
          <a:off x="8582025" y="2457450"/>
          <a:ext cx="3581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285750</xdr:colOff>
      <xdr:row>13</xdr:row>
      <xdr:rowOff>142875</xdr:rowOff>
    </xdr:from>
    <xdr:to>
      <xdr:col>18</xdr:col>
      <xdr:colOff>361950</xdr:colOff>
      <xdr:row>14</xdr:row>
      <xdr:rowOff>28575</xdr:rowOff>
    </xdr:to>
    <xdr:sp>
      <xdr:nvSpPr>
        <xdr:cNvPr id="43" name="Oval 74"/>
        <xdr:cNvSpPr>
          <a:spLocks/>
        </xdr:cNvSpPr>
      </xdr:nvSpPr>
      <xdr:spPr>
        <a:xfrm>
          <a:off x="12087225" y="24098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485775</xdr:colOff>
      <xdr:row>19</xdr:row>
      <xdr:rowOff>104775</xdr:rowOff>
    </xdr:from>
    <xdr:to>
      <xdr:col>19</xdr:col>
      <xdr:colOff>28575</xdr:colOff>
      <xdr:row>19</xdr:row>
      <xdr:rowOff>161925</xdr:rowOff>
    </xdr:to>
    <xdr:sp>
      <xdr:nvSpPr>
        <xdr:cNvPr id="44" name="Oval 75"/>
        <xdr:cNvSpPr>
          <a:spLocks/>
        </xdr:cNvSpPr>
      </xdr:nvSpPr>
      <xdr:spPr>
        <a:xfrm>
          <a:off x="12287250" y="3505200"/>
          <a:ext cx="76200" cy="57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400050</xdr:colOff>
      <xdr:row>19</xdr:row>
      <xdr:rowOff>161925</xdr:rowOff>
    </xdr:from>
    <xdr:to>
      <xdr:col>18</xdr:col>
      <xdr:colOff>476250</xdr:colOff>
      <xdr:row>20</xdr:row>
      <xdr:rowOff>57150</xdr:rowOff>
    </xdr:to>
    <xdr:sp>
      <xdr:nvSpPr>
        <xdr:cNvPr id="45" name="Oval 79"/>
        <xdr:cNvSpPr>
          <a:spLocks/>
        </xdr:cNvSpPr>
      </xdr:nvSpPr>
      <xdr:spPr>
        <a:xfrm>
          <a:off x="12201525" y="3562350"/>
          <a:ext cx="76200" cy="571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190500</xdr:colOff>
      <xdr:row>12</xdr:row>
      <xdr:rowOff>171450</xdr:rowOff>
    </xdr:from>
    <xdr:to>
      <xdr:col>18</xdr:col>
      <xdr:colOff>304800</xdr:colOff>
      <xdr:row>13</xdr:row>
      <xdr:rowOff>142875</xdr:rowOff>
    </xdr:to>
    <xdr:sp>
      <xdr:nvSpPr>
        <xdr:cNvPr id="46" name="Text Box 80"/>
        <xdr:cNvSpPr txBox="1">
          <a:spLocks noChangeArrowheads="1"/>
        </xdr:cNvSpPr>
      </xdr:nvSpPr>
      <xdr:spPr>
        <a:xfrm>
          <a:off x="11991975" y="2247900"/>
          <a:ext cx="1143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18</xdr:col>
      <xdr:colOff>476250</xdr:colOff>
      <xdr:row>18</xdr:row>
      <xdr:rowOff>133350</xdr:rowOff>
    </xdr:from>
    <xdr:to>
      <xdr:col>19</xdr:col>
      <xdr:colOff>66675</xdr:colOff>
      <xdr:row>19</xdr:row>
      <xdr:rowOff>66675</xdr:rowOff>
    </xdr:to>
    <xdr:sp>
      <xdr:nvSpPr>
        <xdr:cNvPr id="47" name="Text Box 81"/>
        <xdr:cNvSpPr txBox="1">
          <a:spLocks noChangeArrowheads="1"/>
        </xdr:cNvSpPr>
      </xdr:nvSpPr>
      <xdr:spPr>
        <a:xfrm>
          <a:off x="12277725" y="3324225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11</xdr:col>
      <xdr:colOff>476250</xdr:colOff>
      <xdr:row>17</xdr:row>
      <xdr:rowOff>85725</xdr:rowOff>
    </xdr:from>
    <xdr:to>
      <xdr:col>13</xdr:col>
      <xdr:colOff>428625</xdr:colOff>
      <xdr:row>17</xdr:row>
      <xdr:rowOff>95250</xdr:rowOff>
    </xdr:to>
    <xdr:sp>
      <xdr:nvSpPr>
        <xdr:cNvPr id="48" name="Line 84"/>
        <xdr:cNvSpPr>
          <a:spLocks/>
        </xdr:cNvSpPr>
      </xdr:nvSpPr>
      <xdr:spPr>
        <a:xfrm flipV="1">
          <a:off x="8543925" y="3114675"/>
          <a:ext cx="10191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19050</xdr:rowOff>
    </xdr:from>
    <xdr:to>
      <xdr:col>18</xdr:col>
      <xdr:colOff>419100</xdr:colOff>
      <xdr:row>20</xdr:row>
      <xdr:rowOff>28575</xdr:rowOff>
    </xdr:to>
    <xdr:sp>
      <xdr:nvSpPr>
        <xdr:cNvPr id="49" name="Line 85"/>
        <xdr:cNvSpPr>
          <a:spLocks/>
        </xdr:cNvSpPr>
      </xdr:nvSpPr>
      <xdr:spPr>
        <a:xfrm flipV="1">
          <a:off x="8601075" y="3581400"/>
          <a:ext cx="36195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247650</xdr:colOff>
      <xdr:row>8</xdr:row>
      <xdr:rowOff>19050</xdr:rowOff>
    </xdr:from>
    <xdr:to>
      <xdr:col>12</xdr:col>
      <xdr:colOff>66675</xdr:colOff>
      <xdr:row>8</xdr:row>
      <xdr:rowOff>142875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8315325" y="1333500"/>
          <a:ext cx="3524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Steam</a:t>
          </a:r>
        </a:p>
      </xdr:txBody>
    </xdr:sp>
    <xdr:clientData/>
  </xdr:twoCellAnchor>
  <xdr:twoCellAnchor>
    <xdr:from>
      <xdr:col>17</xdr:col>
      <xdr:colOff>428625</xdr:colOff>
      <xdr:row>17</xdr:row>
      <xdr:rowOff>0</xdr:rowOff>
    </xdr:from>
    <xdr:to>
      <xdr:col>17</xdr:col>
      <xdr:colOff>428625</xdr:colOff>
      <xdr:row>23</xdr:row>
      <xdr:rowOff>38100</xdr:rowOff>
    </xdr:to>
    <xdr:sp>
      <xdr:nvSpPr>
        <xdr:cNvPr id="51" name="Line 88"/>
        <xdr:cNvSpPr>
          <a:spLocks/>
        </xdr:cNvSpPr>
      </xdr:nvSpPr>
      <xdr:spPr>
        <a:xfrm flipV="1">
          <a:off x="11696700" y="3028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381000</xdr:colOff>
      <xdr:row>17</xdr:row>
      <xdr:rowOff>57150</xdr:rowOff>
    </xdr:from>
    <xdr:to>
      <xdr:col>17</xdr:col>
      <xdr:colOff>447675</xdr:colOff>
      <xdr:row>17</xdr:row>
      <xdr:rowOff>133350</xdr:rowOff>
    </xdr:to>
    <xdr:sp>
      <xdr:nvSpPr>
        <xdr:cNvPr id="52" name="Oval 76"/>
        <xdr:cNvSpPr>
          <a:spLocks/>
        </xdr:cNvSpPr>
      </xdr:nvSpPr>
      <xdr:spPr>
        <a:xfrm>
          <a:off x="11649075" y="30861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8</xdr:row>
      <xdr:rowOff>9525</xdr:rowOff>
    </xdr:from>
    <xdr:to>
      <xdr:col>14</xdr:col>
      <xdr:colOff>409575</xdr:colOff>
      <xdr:row>9</xdr:row>
      <xdr:rowOff>0</xdr:rowOff>
    </xdr:to>
    <xdr:sp>
      <xdr:nvSpPr>
        <xdr:cNvPr id="53" name="Text Box 89"/>
        <xdr:cNvSpPr txBox="1">
          <a:spLocks noChangeArrowheads="1"/>
        </xdr:cNvSpPr>
      </xdr:nvSpPr>
      <xdr:spPr>
        <a:xfrm>
          <a:off x="9858375" y="132397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1a</a:t>
          </a:r>
        </a:p>
      </xdr:txBody>
    </xdr:sp>
    <xdr:clientData/>
  </xdr:twoCellAnchor>
  <xdr:twoCellAnchor>
    <xdr:from>
      <xdr:col>17</xdr:col>
      <xdr:colOff>504825</xdr:colOff>
      <xdr:row>20</xdr:row>
      <xdr:rowOff>66675</xdr:rowOff>
    </xdr:from>
    <xdr:to>
      <xdr:col>18</xdr:col>
      <xdr:colOff>257175</xdr:colOff>
      <xdr:row>21</xdr:row>
      <xdr:rowOff>38100</xdr:rowOff>
    </xdr:to>
    <xdr:sp>
      <xdr:nvSpPr>
        <xdr:cNvPr id="54" name="Text Box 90"/>
        <xdr:cNvSpPr txBox="1">
          <a:spLocks noChangeArrowheads="1"/>
        </xdr:cNvSpPr>
      </xdr:nvSpPr>
      <xdr:spPr>
        <a:xfrm>
          <a:off x="11772900" y="362902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2sat</a:t>
          </a:r>
        </a:p>
      </xdr:txBody>
    </xdr:sp>
    <xdr:clientData/>
  </xdr:twoCellAnchor>
  <xdr:twoCellAnchor>
    <xdr:from>
      <xdr:col>17</xdr:col>
      <xdr:colOff>428625</xdr:colOff>
      <xdr:row>11</xdr:row>
      <xdr:rowOff>76200</xdr:rowOff>
    </xdr:from>
    <xdr:to>
      <xdr:col>19</xdr:col>
      <xdr:colOff>123825</xdr:colOff>
      <xdr:row>17</xdr:row>
      <xdr:rowOff>104775</xdr:rowOff>
    </xdr:to>
    <xdr:sp>
      <xdr:nvSpPr>
        <xdr:cNvPr id="55" name="Line 91"/>
        <xdr:cNvSpPr>
          <a:spLocks/>
        </xdr:cNvSpPr>
      </xdr:nvSpPr>
      <xdr:spPr>
        <a:xfrm flipV="1">
          <a:off x="11696700" y="1962150"/>
          <a:ext cx="762000" cy="11715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504825</xdr:colOff>
      <xdr:row>17</xdr:row>
      <xdr:rowOff>95250</xdr:rowOff>
    </xdr:from>
    <xdr:to>
      <xdr:col>17</xdr:col>
      <xdr:colOff>409575</xdr:colOff>
      <xdr:row>17</xdr:row>
      <xdr:rowOff>95250</xdr:rowOff>
    </xdr:to>
    <xdr:sp>
      <xdr:nvSpPr>
        <xdr:cNvPr id="56" name="Line 92"/>
        <xdr:cNvSpPr>
          <a:spLocks/>
        </xdr:cNvSpPr>
      </xdr:nvSpPr>
      <xdr:spPr>
        <a:xfrm flipH="1">
          <a:off x="10172700" y="3124200"/>
          <a:ext cx="150495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428625</xdr:colOff>
      <xdr:row>16</xdr:row>
      <xdr:rowOff>180975</xdr:rowOff>
    </xdr:from>
    <xdr:to>
      <xdr:col>14</xdr:col>
      <xdr:colOff>266700</xdr:colOff>
      <xdr:row>18</xdr:row>
      <xdr:rowOff>57150</xdr:rowOff>
    </xdr:to>
    <xdr:sp>
      <xdr:nvSpPr>
        <xdr:cNvPr id="57" name="Text Box 93"/>
        <xdr:cNvSpPr txBox="1">
          <a:spLocks noChangeArrowheads="1"/>
        </xdr:cNvSpPr>
      </xdr:nvSpPr>
      <xdr:spPr>
        <a:xfrm>
          <a:off x="9563100" y="3019425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1,sat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18</xdr:col>
      <xdr:colOff>447675</xdr:colOff>
      <xdr:row>20</xdr:row>
      <xdr:rowOff>9525</xdr:rowOff>
    </xdr:from>
    <xdr:to>
      <xdr:col>18</xdr:col>
      <xdr:colOff>447675</xdr:colOff>
      <xdr:row>23</xdr:row>
      <xdr:rowOff>0</xdr:rowOff>
    </xdr:to>
    <xdr:sp>
      <xdr:nvSpPr>
        <xdr:cNvPr id="58" name="Line 94"/>
        <xdr:cNvSpPr>
          <a:spLocks/>
        </xdr:cNvSpPr>
      </xdr:nvSpPr>
      <xdr:spPr>
        <a:xfrm flipV="1">
          <a:off x="12249150" y="3571875"/>
          <a:ext cx="0" cy="476250"/>
        </a:xfrm>
        <a:prstGeom prst="line">
          <a:avLst/>
        </a:prstGeom>
        <a:noFill/>
        <a:ln w="9525" cmpd="sng">
          <a:solidFill>
            <a:srgbClr val="8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428625</xdr:colOff>
      <xdr:row>20</xdr:row>
      <xdr:rowOff>19050</xdr:rowOff>
    </xdr:from>
    <xdr:to>
      <xdr:col>18</xdr:col>
      <xdr:colOff>438150</xdr:colOff>
      <xdr:row>20</xdr:row>
      <xdr:rowOff>19050</xdr:rowOff>
    </xdr:to>
    <xdr:sp>
      <xdr:nvSpPr>
        <xdr:cNvPr id="59" name="Line 95"/>
        <xdr:cNvSpPr>
          <a:spLocks/>
        </xdr:cNvSpPr>
      </xdr:nvSpPr>
      <xdr:spPr>
        <a:xfrm flipH="1">
          <a:off x="12230100" y="3581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20</xdr:row>
      <xdr:rowOff>19050</xdr:rowOff>
    </xdr:from>
    <xdr:to>
      <xdr:col>18</xdr:col>
      <xdr:colOff>447675</xdr:colOff>
      <xdr:row>20</xdr:row>
      <xdr:rowOff>19050</xdr:rowOff>
    </xdr:to>
    <xdr:sp>
      <xdr:nvSpPr>
        <xdr:cNvPr id="60" name="Line 97"/>
        <xdr:cNvSpPr>
          <a:spLocks/>
        </xdr:cNvSpPr>
      </xdr:nvSpPr>
      <xdr:spPr>
        <a:xfrm flipH="1">
          <a:off x="10229850" y="3581400"/>
          <a:ext cx="201930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428625</xdr:colOff>
      <xdr:row>16</xdr:row>
      <xdr:rowOff>38100</xdr:rowOff>
    </xdr:from>
    <xdr:to>
      <xdr:col>18</xdr:col>
      <xdr:colOff>180975</xdr:colOff>
      <xdr:row>17</xdr:row>
      <xdr:rowOff>9525</xdr:rowOff>
    </xdr:to>
    <xdr:sp>
      <xdr:nvSpPr>
        <xdr:cNvPr id="61" name="Text Box 82"/>
        <xdr:cNvSpPr txBox="1">
          <a:spLocks noChangeArrowheads="1"/>
        </xdr:cNvSpPr>
      </xdr:nvSpPr>
      <xdr:spPr>
        <a:xfrm>
          <a:off x="11696700" y="2876550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1sat</a:t>
          </a:r>
        </a:p>
      </xdr:txBody>
    </xdr:sp>
    <xdr:clientData/>
  </xdr:twoCellAnchor>
  <xdr:twoCellAnchor>
    <xdr:from>
      <xdr:col>12</xdr:col>
      <xdr:colOff>9525</xdr:colOff>
      <xdr:row>14</xdr:row>
      <xdr:rowOff>161925</xdr:rowOff>
    </xdr:from>
    <xdr:to>
      <xdr:col>20</xdr:col>
      <xdr:colOff>485775</xdr:colOff>
      <xdr:row>14</xdr:row>
      <xdr:rowOff>161925</xdr:rowOff>
    </xdr:to>
    <xdr:sp>
      <xdr:nvSpPr>
        <xdr:cNvPr id="62" name="Line 101"/>
        <xdr:cNvSpPr>
          <a:spLocks/>
        </xdr:cNvSpPr>
      </xdr:nvSpPr>
      <xdr:spPr>
        <a:xfrm>
          <a:off x="8610600" y="2619375"/>
          <a:ext cx="4743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428625</xdr:colOff>
      <xdr:row>14</xdr:row>
      <xdr:rowOff>123825</xdr:rowOff>
    </xdr:from>
    <xdr:to>
      <xdr:col>20</xdr:col>
      <xdr:colOff>504825</xdr:colOff>
      <xdr:row>15</xdr:row>
      <xdr:rowOff>0</xdr:rowOff>
    </xdr:to>
    <xdr:sp>
      <xdr:nvSpPr>
        <xdr:cNvPr id="63" name="Oval 102"/>
        <xdr:cNvSpPr>
          <a:spLocks/>
        </xdr:cNvSpPr>
      </xdr:nvSpPr>
      <xdr:spPr>
        <a:xfrm>
          <a:off x="13296900" y="2581275"/>
          <a:ext cx="76200" cy="6667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390525</xdr:colOff>
      <xdr:row>13</xdr:row>
      <xdr:rowOff>123825</xdr:rowOff>
    </xdr:from>
    <xdr:to>
      <xdr:col>21</xdr:col>
      <xdr:colOff>38100</xdr:colOff>
      <xdr:row>14</xdr:row>
      <xdr:rowOff>123825</xdr:rowOff>
    </xdr:to>
    <xdr:sp>
      <xdr:nvSpPr>
        <xdr:cNvPr id="64" name="Text Box 103"/>
        <xdr:cNvSpPr txBox="1">
          <a:spLocks noChangeArrowheads="1"/>
        </xdr:cNvSpPr>
      </xdr:nvSpPr>
      <xdr:spPr>
        <a:xfrm>
          <a:off x="13258800" y="2390775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1a</a:t>
          </a:r>
        </a:p>
      </xdr:txBody>
    </xdr:sp>
    <xdr:clientData/>
  </xdr:twoCellAnchor>
  <xdr:twoCellAnchor>
    <xdr:from>
      <xdr:col>19</xdr:col>
      <xdr:colOff>228600</xdr:colOff>
      <xdr:row>13</xdr:row>
      <xdr:rowOff>85725</xdr:rowOff>
    </xdr:from>
    <xdr:to>
      <xdr:col>20</xdr:col>
      <xdr:colOff>257175</xdr:colOff>
      <xdr:row>14</xdr:row>
      <xdr:rowOff>85725</xdr:rowOff>
    </xdr:to>
    <xdr:sp>
      <xdr:nvSpPr>
        <xdr:cNvPr id="65" name="Text Box 104"/>
        <xdr:cNvSpPr txBox="1">
          <a:spLocks noChangeArrowheads="1"/>
        </xdr:cNvSpPr>
      </xdr:nvSpPr>
      <xdr:spPr>
        <a:xfrm>
          <a:off x="12563475" y="2352675"/>
          <a:ext cx="561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h1 = const</a:t>
          </a:r>
        </a:p>
      </xdr:txBody>
    </xdr:sp>
    <xdr:clientData/>
  </xdr:twoCellAnchor>
  <xdr:twoCellAnchor>
    <xdr:from>
      <xdr:col>18</xdr:col>
      <xdr:colOff>104775</xdr:colOff>
      <xdr:row>13</xdr:row>
      <xdr:rowOff>123825</xdr:rowOff>
    </xdr:from>
    <xdr:to>
      <xdr:col>20</xdr:col>
      <xdr:colOff>495300</xdr:colOff>
      <xdr:row>14</xdr:row>
      <xdr:rowOff>171450</xdr:rowOff>
    </xdr:to>
    <xdr:sp>
      <xdr:nvSpPr>
        <xdr:cNvPr id="66" name="Line 100"/>
        <xdr:cNvSpPr>
          <a:spLocks/>
        </xdr:cNvSpPr>
      </xdr:nvSpPr>
      <xdr:spPr>
        <a:xfrm>
          <a:off x="11906250" y="2390775"/>
          <a:ext cx="1457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409575</xdr:colOff>
      <xdr:row>14</xdr:row>
      <xdr:rowOff>76200</xdr:rowOff>
    </xdr:from>
    <xdr:to>
      <xdr:col>20</xdr:col>
      <xdr:colOff>161925</xdr:colOff>
      <xdr:row>14</xdr:row>
      <xdr:rowOff>114300</xdr:rowOff>
    </xdr:to>
    <xdr:sp>
      <xdr:nvSpPr>
        <xdr:cNvPr id="67" name="Line 105"/>
        <xdr:cNvSpPr>
          <a:spLocks/>
        </xdr:cNvSpPr>
      </xdr:nvSpPr>
      <xdr:spPr>
        <a:xfrm>
          <a:off x="12744450" y="2533650"/>
          <a:ext cx="285750" cy="38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476250</xdr:colOff>
      <xdr:row>5</xdr:row>
      <xdr:rowOff>0</xdr:rowOff>
    </xdr:from>
    <xdr:to>
      <xdr:col>15</xdr:col>
      <xdr:colOff>476250</xdr:colOff>
      <xdr:row>9</xdr:row>
      <xdr:rowOff>9525</xdr:rowOff>
    </xdr:to>
    <xdr:sp>
      <xdr:nvSpPr>
        <xdr:cNvPr id="68" name="Line 4"/>
        <xdr:cNvSpPr>
          <a:spLocks/>
        </xdr:cNvSpPr>
      </xdr:nvSpPr>
      <xdr:spPr>
        <a:xfrm flipH="1">
          <a:off x="10677525" y="8001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466725</xdr:colOff>
      <xdr:row>4</xdr:row>
      <xdr:rowOff>95250</xdr:rowOff>
    </xdr:from>
    <xdr:to>
      <xdr:col>16</xdr:col>
      <xdr:colOff>152400</xdr:colOff>
      <xdr:row>5</xdr:row>
      <xdr:rowOff>114300</xdr:rowOff>
    </xdr:to>
    <xdr:sp>
      <xdr:nvSpPr>
        <xdr:cNvPr id="69" name="Oval 9"/>
        <xdr:cNvSpPr>
          <a:spLocks/>
        </xdr:cNvSpPr>
      </xdr:nvSpPr>
      <xdr:spPr>
        <a:xfrm>
          <a:off x="10668000" y="733425"/>
          <a:ext cx="2190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5</xdr:row>
      <xdr:rowOff>0</xdr:rowOff>
    </xdr:from>
    <xdr:to>
      <xdr:col>17</xdr:col>
      <xdr:colOff>504825</xdr:colOff>
      <xdr:row>5</xdr:row>
      <xdr:rowOff>0</xdr:rowOff>
    </xdr:to>
    <xdr:sp>
      <xdr:nvSpPr>
        <xdr:cNvPr id="70" name="Line 10"/>
        <xdr:cNvSpPr>
          <a:spLocks/>
        </xdr:cNvSpPr>
      </xdr:nvSpPr>
      <xdr:spPr>
        <a:xfrm>
          <a:off x="10782300" y="800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495300</xdr:colOff>
      <xdr:row>3</xdr:row>
      <xdr:rowOff>142875</xdr:rowOff>
    </xdr:from>
    <xdr:to>
      <xdr:col>18</xdr:col>
      <xdr:colOff>314325</xdr:colOff>
      <xdr:row>5</xdr:row>
      <xdr:rowOff>114300</xdr:rowOff>
    </xdr:to>
    <xdr:sp>
      <xdr:nvSpPr>
        <xdr:cNvPr id="71" name="Freeform 11"/>
        <xdr:cNvSpPr>
          <a:spLocks/>
        </xdr:cNvSpPr>
      </xdr:nvSpPr>
      <xdr:spPr>
        <a:xfrm>
          <a:off x="11763375" y="638175"/>
          <a:ext cx="352425" cy="276225"/>
        </a:xfrm>
        <a:custGeom>
          <a:pathLst>
            <a:path h="39" w="37">
              <a:moveTo>
                <a:pt x="0" y="2"/>
              </a:moveTo>
              <a:lnTo>
                <a:pt x="0" y="39"/>
              </a:lnTo>
              <a:lnTo>
                <a:pt x="37" y="39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504825</xdr:colOff>
      <xdr:row>4</xdr:row>
      <xdr:rowOff>9525</xdr:rowOff>
    </xdr:from>
    <xdr:to>
      <xdr:col>18</xdr:col>
      <xdr:colOff>295275</xdr:colOff>
      <xdr:row>4</xdr:row>
      <xdr:rowOff>9525</xdr:rowOff>
    </xdr:to>
    <xdr:sp>
      <xdr:nvSpPr>
        <xdr:cNvPr id="72" name="Line 12"/>
        <xdr:cNvSpPr>
          <a:spLocks/>
        </xdr:cNvSpPr>
      </xdr:nvSpPr>
      <xdr:spPr>
        <a:xfrm>
          <a:off x="11772900" y="647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476250</xdr:colOff>
      <xdr:row>6</xdr:row>
      <xdr:rowOff>104775</xdr:rowOff>
    </xdr:from>
    <xdr:to>
      <xdr:col>15</xdr:col>
      <xdr:colOff>476250</xdr:colOff>
      <xdr:row>7</xdr:row>
      <xdr:rowOff>47625</xdr:rowOff>
    </xdr:to>
    <xdr:sp>
      <xdr:nvSpPr>
        <xdr:cNvPr id="73" name="Line 45"/>
        <xdr:cNvSpPr>
          <a:spLocks/>
        </xdr:cNvSpPr>
      </xdr:nvSpPr>
      <xdr:spPr>
        <a:xfrm>
          <a:off x="10677525" y="1066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514350</xdr:colOff>
      <xdr:row>6</xdr:row>
      <xdr:rowOff>66675</xdr:rowOff>
    </xdr:from>
    <xdr:to>
      <xdr:col>16</xdr:col>
      <xdr:colOff>161925</xdr:colOff>
      <xdr:row>7</xdr:row>
      <xdr:rowOff>47625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10715625" y="102870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18</xdr:col>
      <xdr:colOff>257175</xdr:colOff>
      <xdr:row>4</xdr:row>
      <xdr:rowOff>104775</xdr:rowOff>
    </xdr:from>
    <xdr:to>
      <xdr:col>18</xdr:col>
      <xdr:colOff>514350</xdr:colOff>
      <xdr:row>4</xdr:row>
      <xdr:rowOff>114300</xdr:rowOff>
    </xdr:to>
    <xdr:sp>
      <xdr:nvSpPr>
        <xdr:cNvPr id="75" name="Line 52"/>
        <xdr:cNvSpPr>
          <a:spLocks/>
        </xdr:cNvSpPr>
      </xdr:nvSpPr>
      <xdr:spPr>
        <a:xfrm flipH="1">
          <a:off x="12058650" y="74295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4</xdr:row>
      <xdr:rowOff>0</xdr:rowOff>
    </xdr:from>
    <xdr:to>
      <xdr:col>15</xdr:col>
      <xdr:colOff>447675</xdr:colOff>
      <xdr:row>4</xdr:row>
      <xdr:rowOff>123825</xdr:rowOff>
    </xdr:to>
    <xdr:sp>
      <xdr:nvSpPr>
        <xdr:cNvPr id="76" name="Line 53"/>
        <xdr:cNvSpPr>
          <a:spLocks/>
        </xdr:cNvSpPr>
      </xdr:nvSpPr>
      <xdr:spPr>
        <a:xfrm>
          <a:off x="10296525" y="638175"/>
          <a:ext cx="352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76200</xdr:colOff>
      <xdr:row>5</xdr:row>
      <xdr:rowOff>57150</xdr:rowOff>
    </xdr:from>
    <xdr:to>
      <xdr:col>17</xdr:col>
      <xdr:colOff>419100</xdr:colOff>
      <xdr:row>6</xdr:row>
      <xdr:rowOff>114300</xdr:rowOff>
    </xdr:to>
    <xdr:sp>
      <xdr:nvSpPr>
        <xdr:cNvPr id="77" name="Text Box 57"/>
        <xdr:cNvSpPr txBox="1">
          <a:spLocks noChangeArrowheads="1"/>
        </xdr:cNvSpPr>
      </xdr:nvSpPr>
      <xdr:spPr>
        <a:xfrm>
          <a:off x="11344275" y="8572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16</xdr:col>
      <xdr:colOff>390525</xdr:colOff>
      <xdr:row>4</xdr:row>
      <xdr:rowOff>114300</xdr:rowOff>
    </xdr:from>
    <xdr:to>
      <xdr:col>16</xdr:col>
      <xdr:colOff>466725</xdr:colOff>
      <xdr:row>5</xdr:row>
      <xdr:rowOff>28575</xdr:rowOff>
    </xdr:to>
    <xdr:sp>
      <xdr:nvSpPr>
        <xdr:cNvPr id="78" name="Oval 107"/>
        <xdr:cNvSpPr>
          <a:spLocks/>
        </xdr:cNvSpPr>
      </xdr:nvSpPr>
      <xdr:spPr>
        <a:xfrm>
          <a:off x="11125200" y="7524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428625</xdr:colOff>
      <xdr:row>6</xdr:row>
      <xdr:rowOff>47625</xdr:rowOff>
    </xdr:from>
    <xdr:to>
      <xdr:col>15</xdr:col>
      <xdr:colOff>504825</xdr:colOff>
      <xdr:row>6</xdr:row>
      <xdr:rowOff>114300</xdr:rowOff>
    </xdr:to>
    <xdr:sp>
      <xdr:nvSpPr>
        <xdr:cNvPr id="79" name="Oval 108"/>
        <xdr:cNvSpPr>
          <a:spLocks/>
        </xdr:cNvSpPr>
      </xdr:nvSpPr>
      <xdr:spPr>
        <a:xfrm>
          <a:off x="10629900" y="10096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190500</xdr:colOff>
      <xdr:row>15</xdr:row>
      <xdr:rowOff>152400</xdr:rowOff>
    </xdr:from>
    <xdr:to>
      <xdr:col>20</xdr:col>
      <xdr:colOff>447675</xdr:colOff>
      <xdr:row>17</xdr:row>
      <xdr:rowOff>28575</xdr:rowOff>
    </xdr:to>
    <xdr:sp>
      <xdr:nvSpPr>
        <xdr:cNvPr id="80" name="Text Box 109"/>
        <xdr:cNvSpPr txBox="1">
          <a:spLocks noChangeArrowheads="1"/>
        </xdr:cNvSpPr>
      </xdr:nvSpPr>
      <xdr:spPr>
        <a:xfrm>
          <a:off x="13058775" y="2800350"/>
          <a:ext cx="247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solidFill>
                <a:srgbClr val="00FF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18</xdr:col>
      <xdr:colOff>447675</xdr:colOff>
      <xdr:row>14</xdr:row>
      <xdr:rowOff>114300</xdr:rowOff>
    </xdr:from>
    <xdr:to>
      <xdr:col>20</xdr:col>
      <xdr:colOff>504825</xdr:colOff>
      <xdr:row>20</xdr:row>
      <xdr:rowOff>9525</xdr:rowOff>
    </xdr:to>
    <xdr:sp>
      <xdr:nvSpPr>
        <xdr:cNvPr id="81" name="Line 96"/>
        <xdr:cNvSpPr>
          <a:spLocks/>
        </xdr:cNvSpPr>
      </xdr:nvSpPr>
      <xdr:spPr>
        <a:xfrm flipV="1">
          <a:off x="12249150" y="2571750"/>
          <a:ext cx="1123950" cy="10001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428625</xdr:colOff>
      <xdr:row>16</xdr:row>
      <xdr:rowOff>104775</xdr:rowOff>
    </xdr:from>
    <xdr:to>
      <xdr:col>20</xdr:col>
      <xdr:colOff>76200</xdr:colOff>
      <xdr:row>17</xdr:row>
      <xdr:rowOff>123825</xdr:rowOff>
    </xdr:to>
    <xdr:sp>
      <xdr:nvSpPr>
        <xdr:cNvPr id="82" name="Line 106"/>
        <xdr:cNvSpPr>
          <a:spLocks/>
        </xdr:cNvSpPr>
      </xdr:nvSpPr>
      <xdr:spPr>
        <a:xfrm flipH="1">
          <a:off x="12763500" y="2943225"/>
          <a:ext cx="18097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10</xdr:row>
      <xdr:rowOff>180975</xdr:rowOff>
    </xdr:from>
    <xdr:to>
      <xdr:col>19</xdr:col>
      <xdr:colOff>247650</xdr:colOff>
      <xdr:row>12</xdr:row>
      <xdr:rowOff>9525</xdr:rowOff>
    </xdr:to>
    <xdr:sp>
      <xdr:nvSpPr>
        <xdr:cNvPr id="83" name="Text Box 110"/>
        <xdr:cNvSpPr txBox="1">
          <a:spLocks noChangeArrowheads="1"/>
        </xdr:cNvSpPr>
      </xdr:nvSpPr>
      <xdr:spPr>
        <a:xfrm>
          <a:off x="12401550" y="18764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000" b="1" i="0" u="none" baseline="-25000">
              <a:solidFill>
                <a:srgbClr val="00FF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180975</xdr:colOff>
      <xdr:row>13</xdr:row>
      <xdr:rowOff>0</xdr:rowOff>
    </xdr:from>
    <xdr:to>
      <xdr:col>13</xdr:col>
      <xdr:colOff>466725</xdr:colOff>
      <xdr:row>13</xdr:row>
      <xdr:rowOff>152400</xdr:rowOff>
    </xdr:to>
    <xdr:sp>
      <xdr:nvSpPr>
        <xdr:cNvPr id="84" name="Text Box 111"/>
        <xdr:cNvSpPr txBox="1">
          <a:spLocks noChangeArrowheads="1"/>
        </xdr:cNvSpPr>
      </xdr:nvSpPr>
      <xdr:spPr>
        <a:xfrm>
          <a:off x="9315450" y="2266950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13</xdr:col>
      <xdr:colOff>238125</xdr:colOff>
      <xdr:row>18</xdr:row>
      <xdr:rowOff>171450</xdr:rowOff>
    </xdr:from>
    <xdr:to>
      <xdr:col>13</xdr:col>
      <xdr:colOff>514350</xdr:colOff>
      <xdr:row>20</xdr:row>
      <xdr:rowOff>0</xdr:rowOff>
    </xdr:to>
    <xdr:sp>
      <xdr:nvSpPr>
        <xdr:cNvPr id="85" name="Text Box 112"/>
        <xdr:cNvSpPr txBox="1">
          <a:spLocks noChangeArrowheads="1"/>
        </xdr:cNvSpPr>
      </xdr:nvSpPr>
      <xdr:spPr>
        <a:xfrm>
          <a:off x="9372600" y="3362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16</xdr:col>
      <xdr:colOff>523875</xdr:colOff>
      <xdr:row>7</xdr:row>
      <xdr:rowOff>161925</xdr:rowOff>
    </xdr:from>
    <xdr:to>
      <xdr:col>17</xdr:col>
      <xdr:colOff>161925</xdr:colOff>
      <xdr:row>8</xdr:row>
      <xdr:rowOff>171450</xdr:rowOff>
    </xdr:to>
    <xdr:sp>
      <xdr:nvSpPr>
        <xdr:cNvPr id="86" name="Text Box 114"/>
        <xdr:cNvSpPr txBox="1">
          <a:spLocks noChangeArrowheads="1"/>
        </xdr:cNvSpPr>
      </xdr:nvSpPr>
      <xdr:spPr>
        <a:xfrm>
          <a:off x="11258550" y="1314450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209550</xdr:colOff>
      <xdr:row>9</xdr:row>
      <xdr:rowOff>114300</xdr:rowOff>
    </xdr:from>
    <xdr:to>
      <xdr:col>15</xdr:col>
      <xdr:colOff>85725</xdr:colOff>
      <xdr:row>10</xdr:row>
      <xdr:rowOff>104775</xdr:rowOff>
    </xdr:to>
    <xdr:sp>
      <xdr:nvSpPr>
        <xdr:cNvPr id="87" name="Text Box 115"/>
        <xdr:cNvSpPr txBox="1">
          <a:spLocks noChangeArrowheads="1"/>
        </xdr:cNvSpPr>
      </xdr:nvSpPr>
      <xdr:spPr>
        <a:xfrm>
          <a:off x="9877425" y="1619250"/>
          <a:ext cx="409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</a:t>
          </a:r>
          <a:r>
            <a:rPr lang="en-US" cap="none" sz="8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p</a:t>
          </a:r>
          <a:r>
            <a:rPr lang="en-US" cap="none" sz="8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323850</xdr:colOff>
      <xdr:row>9</xdr:row>
      <xdr:rowOff>28575</xdr:rowOff>
    </xdr:to>
    <xdr:sp>
      <xdr:nvSpPr>
        <xdr:cNvPr id="88" name="Oval 78"/>
        <xdr:cNvSpPr>
          <a:spLocks/>
        </xdr:cNvSpPr>
      </xdr:nvSpPr>
      <xdr:spPr>
        <a:xfrm>
          <a:off x="9915525" y="1457325"/>
          <a:ext cx="85725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228600</xdr:colOff>
      <xdr:row>20</xdr:row>
      <xdr:rowOff>38100</xdr:rowOff>
    </xdr:from>
    <xdr:to>
      <xdr:col>18</xdr:col>
      <xdr:colOff>390525</xdr:colOff>
      <xdr:row>20</xdr:row>
      <xdr:rowOff>85725</xdr:rowOff>
    </xdr:to>
    <xdr:sp>
      <xdr:nvSpPr>
        <xdr:cNvPr id="89" name="Line 116"/>
        <xdr:cNvSpPr>
          <a:spLocks/>
        </xdr:cNvSpPr>
      </xdr:nvSpPr>
      <xdr:spPr>
        <a:xfrm flipV="1">
          <a:off x="12030075" y="36004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504825</xdr:colOff>
      <xdr:row>19</xdr:row>
      <xdr:rowOff>152400</xdr:rowOff>
    </xdr:from>
    <xdr:to>
      <xdr:col>19</xdr:col>
      <xdr:colOff>38100</xdr:colOff>
      <xdr:row>19</xdr:row>
      <xdr:rowOff>152400</xdr:rowOff>
    </xdr:to>
    <xdr:sp>
      <xdr:nvSpPr>
        <xdr:cNvPr id="90" name="Line 73"/>
        <xdr:cNvSpPr>
          <a:spLocks/>
        </xdr:cNvSpPr>
      </xdr:nvSpPr>
      <xdr:spPr>
        <a:xfrm>
          <a:off x="8572500" y="3552825"/>
          <a:ext cx="3800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20</xdr:row>
      <xdr:rowOff>47625</xdr:rowOff>
    </xdr:from>
    <xdr:to>
      <xdr:col>13</xdr:col>
      <xdr:colOff>495300</xdr:colOff>
      <xdr:row>21</xdr:row>
      <xdr:rowOff>57150</xdr:rowOff>
    </xdr:to>
    <xdr:sp>
      <xdr:nvSpPr>
        <xdr:cNvPr id="91" name="Text Box 117"/>
        <xdr:cNvSpPr txBox="1">
          <a:spLocks noChangeArrowheads="1"/>
        </xdr:cNvSpPr>
      </xdr:nvSpPr>
      <xdr:spPr>
        <a:xfrm>
          <a:off x="9220200" y="3609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2,sat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190500</xdr:colOff>
      <xdr:row>14</xdr:row>
      <xdr:rowOff>180975</xdr:rowOff>
    </xdr:from>
    <xdr:to>
      <xdr:col>13</xdr:col>
      <xdr:colOff>485775</xdr:colOff>
      <xdr:row>15</xdr:row>
      <xdr:rowOff>161925</xdr:rowOff>
    </xdr:to>
    <xdr:sp>
      <xdr:nvSpPr>
        <xdr:cNvPr id="92" name="Text Box 118"/>
        <xdr:cNvSpPr txBox="1">
          <a:spLocks noChangeArrowheads="1"/>
        </xdr:cNvSpPr>
      </xdr:nvSpPr>
      <xdr:spPr>
        <a:xfrm>
          <a:off x="9324975" y="263842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1a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228600</xdr:colOff>
      <xdr:row>27</xdr:row>
      <xdr:rowOff>171450</xdr:rowOff>
    </xdr:from>
    <xdr:to>
      <xdr:col>12</xdr:col>
      <xdr:colOff>504825</xdr:colOff>
      <xdr:row>28</xdr:row>
      <xdr:rowOff>171450</xdr:rowOff>
    </xdr:to>
    <xdr:sp>
      <xdr:nvSpPr>
        <xdr:cNvPr id="93" name="Text Box 120"/>
        <xdr:cNvSpPr txBox="1">
          <a:spLocks noChangeArrowheads="1"/>
        </xdr:cNvSpPr>
      </xdr:nvSpPr>
      <xdr:spPr>
        <a:xfrm>
          <a:off x="8829675" y="5000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19050</xdr:colOff>
      <xdr:row>28</xdr:row>
      <xdr:rowOff>171450</xdr:rowOff>
    </xdr:from>
    <xdr:to>
      <xdr:col>16</xdr:col>
      <xdr:colOff>428625</xdr:colOff>
      <xdr:row>28</xdr:row>
      <xdr:rowOff>171450</xdr:rowOff>
    </xdr:to>
    <xdr:sp>
      <xdr:nvSpPr>
        <xdr:cNvPr id="94" name="Line 119"/>
        <xdr:cNvSpPr>
          <a:spLocks/>
        </xdr:cNvSpPr>
      </xdr:nvSpPr>
      <xdr:spPr>
        <a:xfrm flipH="1">
          <a:off x="8620125" y="5200650"/>
          <a:ext cx="2543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171450</xdr:rowOff>
    </xdr:from>
    <xdr:to>
      <xdr:col>14</xdr:col>
      <xdr:colOff>285750</xdr:colOff>
      <xdr:row>26</xdr:row>
      <xdr:rowOff>171450</xdr:rowOff>
    </xdr:to>
    <xdr:sp>
      <xdr:nvSpPr>
        <xdr:cNvPr id="95" name="Line 121"/>
        <xdr:cNvSpPr>
          <a:spLocks/>
        </xdr:cNvSpPr>
      </xdr:nvSpPr>
      <xdr:spPr>
        <a:xfrm flipH="1">
          <a:off x="8658225" y="4800600"/>
          <a:ext cx="1295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257175</xdr:colOff>
      <xdr:row>26</xdr:row>
      <xdr:rowOff>0</xdr:rowOff>
    </xdr:from>
    <xdr:to>
      <xdr:col>13</xdr:col>
      <xdr:colOff>9525</xdr:colOff>
      <xdr:row>26</xdr:row>
      <xdr:rowOff>190500</xdr:rowOff>
    </xdr:to>
    <xdr:sp>
      <xdr:nvSpPr>
        <xdr:cNvPr id="96" name="Text Box 122"/>
        <xdr:cNvSpPr txBox="1">
          <a:spLocks noChangeArrowheads="1"/>
        </xdr:cNvSpPr>
      </xdr:nvSpPr>
      <xdr:spPr>
        <a:xfrm>
          <a:off x="8858250" y="4629150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2</xdr:col>
      <xdr:colOff>428625</xdr:colOff>
      <xdr:row>58</xdr:row>
      <xdr:rowOff>161925</xdr:rowOff>
    </xdr:from>
    <xdr:to>
      <xdr:col>5</xdr:col>
      <xdr:colOff>133350</xdr:colOff>
      <xdr:row>65</xdr:row>
      <xdr:rowOff>123825</xdr:rowOff>
    </xdr:to>
    <xdr:grpSp>
      <xdr:nvGrpSpPr>
        <xdr:cNvPr id="97" name="Group 3"/>
        <xdr:cNvGrpSpPr>
          <a:grpSpLocks/>
        </xdr:cNvGrpSpPr>
      </xdr:nvGrpSpPr>
      <xdr:grpSpPr>
        <a:xfrm>
          <a:off x="923925" y="10782300"/>
          <a:ext cx="3800475" cy="1323975"/>
          <a:chOff x="8492490" y="15514320"/>
          <a:chExt cx="3912870" cy="1308735"/>
        </a:xfrm>
        <a:solidFill>
          <a:srgbClr val="FFFFFF"/>
        </a:solidFill>
      </xdr:grpSpPr>
      <xdr:grpSp>
        <xdr:nvGrpSpPr>
          <xdr:cNvPr id="98" name="Group 1"/>
          <xdr:cNvGrpSpPr>
            <a:grpSpLocks/>
          </xdr:cNvGrpSpPr>
        </xdr:nvGrpSpPr>
        <xdr:grpSpPr>
          <a:xfrm>
            <a:off x="8492490" y="15598079"/>
            <a:ext cx="3912870" cy="1224976"/>
            <a:chOff x="8530590" y="14516100"/>
            <a:chExt cx="3912870" cy="1224915"/>
          </a:xfrm>
          <a:solidFill>
            <a:srgbClr val="FFFFFF"/>
          </a:solidFill>
        </xdr:grpSpPr>
        <xdr:sp>
          <xdr:nvSpPr>
            <xdr:cNvPr id="99" name="Oval 1"/>
            <xdr:cNvSpPr>
              <a:spLocks/>
            </xdr:cNvSpPr>
          </xdr:nvSpPr>
          <xdr:spPr>
            <a:xfrm>
              <a:off x="9638910" y="15179085"/>
              <a:ext cx="449980" cy="44954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0" name="Line 2"/>
            <xdr:cNvSpPr>
              <a:spLocks/>
            </xdr:cNvSpPr>
          </xdr:nvSpPr>
          <xdr:spPr>
            <a:xfrm flipV="1">
              <a:off x="8862206" y="15445810"/>
              <a:ext cx="830507" cy="76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1" name="Line 3"/>
            <xdr:cNvSpPr>
              <a:spLocks/>
            </xdr:cNvSpPr>
          </xdr:nvSpPr>
          <xdr:spPr>
            <a:xfrm>
              <a:off x="10111389" y="15438155"/>
              <a:ext cx="230859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2" name="Line 5"/>
            <xdr:cNvSpPr>
              <a:spLocks/>
            </xdr:cNvSpPr>
          </xdr:nvSpPr>
          <xdr:spPr>
            <a:xfrm>
              <a:off x="8557002" y="15453466"/>
              <a:ext cx="3355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3" name="Oval 15"/>
            <xdr:cNvSpPr>
              <a:spLocks/>
            </xdr:cNvSpPr>
          </xdr:nvSpPr>
          <xdr:spPr>
            <a:xfrm>
              <a:off x="11468177" y="15392527"/>
              <a:ext cx="76301" cy="76251"/>
            </a:xfrm>
            <a:prstGeom prst="ellipse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4" name="Oval 16"/>
            <xdr:cNvSpPr>
              <a:spLocks/>
            </xdr:cNvSpPr>
          </xdr:nvSpPr>
          <xdr:spPr>
            <a:xfrm>
              <a:off x="9342511" y="15407532"/>
              <a:ext cx="76301" cy="76251"/>
            </a:xfrm>
            <a:prstGeom prst="ellipse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5" name="Text Box 51"/>
            <xdr:cNvSpPr txBox="1">
              <a:spLocks noChangeArrowheads="1"/>
            </xdr:cNvSpPr>
          </xdr:nvSpPr>
          <xdr:spPr>
            <a:xfrm>
              <a:off x="9747493" y="15325769"/>
              <a:ext cx="341398" cy="23824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PRV</a:t>
              </a:r>
            </a:p>
          </xdr:txBody>
        </xdr:sp>
        <xdr:sp>
          <xdr:nvSpPr>
            <xdr:cNvPr id="106" name="Text Box 55"/>
            <xdr:cNvSpPr txBox="1">
              <a:spLocks noChangeArrowheads="1"/>
            </xdr:cNvSpPr>
          </xdr:nvSpPr>
          <xdr:spPr>
            <a:xfrm>
              <a:off x="9182083" y="15523899"/>
              <a:ext cx="369766" cy="16230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, t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07" name="Text Box 56"/>
            <xdr:cNvSpPr txBox="1">
              <a:spLocks noChangeArrowheads="1"/>
            </xdr:cNvSpPr>
          </xdr:nvSpPr>
          <xdr:spPr>
            <a:xfrm>
              <a:off x="11393833" y="15523899"/>
              <a:ext cx="361940" cy="21160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, t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108" name="Text Box 60"/>
            <xdr:cNvSpPr txBox="1">
              <a:spLocks noChangeArrowheads="1"/>
            </xdr:cNvSpPr>
          </xdr:nvSpPr>
          <xdr:spPr>
            <a:xfrm>
              <a:off x="8576566" y="15487764"/>
              <a:ext cx="255315" cy="19813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s</a:t>
              </a:r>
            </a:p>
          </xdr:txBody>
        </xdr:sp>
        <xdr:sp>
          <xdr:nvSpPr>
            <xdr:cNvPr id="109" name="Text Box 86"/>
            <xdr:cNvSpPr txBox="1">
              <a:spLocks noChangeArrowheads="1"/>
            </xdr:cNvSpPr>
          </xdr:nvSpPr>
          <xdr:spPr>
            <a:xfrm>
              <a:off x="8530590" y="15251355"/>
              <a:ext cx="367810" cy="1411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Steam</a:t>
              </a:r>
            </a:p>
          </xdr:txBody>
        </xdr:sp>
        <xdr:sp>
          <xdr:nvSpPr>
            <xdr:cNvPr id="110" name="Text Box 89"/>
            <xdr:cNvSpPr txBox="1">
              <a:spLocks noChangeArrowheads="1"/>
            </xdr:cNvSpPr>
          </xdr:nvSpPr>
          <xdr:spPr>
            <a:xfrm>
              <a:off x="10127041" y="15249518"/>
              <a:ext cx="219121" cy="18863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</a:rPr>
                <a:t>1a</a:t>
              </a:r>
            </a:p>
          </xdr:txBody>
        </xdr:sp>
        <xdr:sp>
          <xdr:nvSpPr>
            <xdr:cNvPr id="111" name="Line 4"/>
            <xdr:cNvSpPr>
              <a:spLocks/>
            </xdr:cNvSpPr>
          </xdr:nvSpPr>
          <xdr:spPr>
            <a:xfrm flipH="1">
              <a:off x="10965373" y="14706574"/>
              <a:ext cx="0" cy="7392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2" name="Oval 9"/>
            <xdr:cNvSpPr>
              <a:spLocks/>
            </xdr:cNvSpPr>
          </xdr:nvSpPr>
          <xdr:spPr>
            <a:xfrm>
              <a:off x="10957548" y="14637979"/>
              <a:ext cx="228903" cy="19047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3" name="Line 10"/>
            <xdr:cNvSpPr>
              <a:spLocks/>
            </xdr:cNvSpPr>
          </xdr:nvSpPr>
          <xdr:spPr>
            <a:xfrm>
              <a:off x="11071999" y="14706574"/>
              <a:ext cx="102125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4" name="Freeform 11"/>
            <xdr:cNvSpPr>
              <a:spLocks/>
            </xdr:cNvSpPr>
          </xdr:nvSpPr>
          <xdr:spPr>
            <a:xfrm>
              <a:off x="12085432" y="14516100"/>
              <a:ext cx="358028" cy="312353"/>
            </a:xfrm>
            <a:custGeom>
              <a:pathLst>
                <a:path h="39" w="37">
                  <a:moveTo>
                    <a:pt x="0" y="2"/>
                  </a:moveTo>
                  <a:lnTo>
                    <a:pt x="0" y="39"/>
                  </a:lnTo>
                  <a:lnTo>
                    <a:pt x="37" y="39"/>
                  </a:lnTo>
                  <a:lnTo>
                    <a:pt x="37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5" name="Line 12"/>
            <xdr:cNvSpPr>
              <a:spLocks/>
            </xdr:cNvSpPr>
          </xdr:nvSpPr>
          <xdr:spPr>
            <a:xfrm>
              <a:off x="12093258" y="14546723"/>
              <a:ext cx="3355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6" name="Line 45"/>
            <xdr:cNvSpPr>
              <a:spLocks/>
            </xdr:cNvSpPr>
          </xdr:nvSpPr>
          <xdr:spPr>
            <a:xfrm>
              <a:off x="10965373" y="14980955"/>
              <a:ext cx="0" cy="1371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Text Box 46"/>
            <xdr:cNvSpPr txBox="1">
              <a:spLocks noChangeArrowheads="1"/>
            </xdr:cNvSpPr>
          </xdr:nvSpPr>
          <xdr:spPr>
            <a:xfrm>
              <a:off x="10999611" y="14940839"/>
              <a:ext cx="196622" cy="17914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</a:t>
              </a:r>
              <a:r>
                <a:rPr lang="en-US" cap="none" sz="8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w</a:t>
              </a:r>
            </a:p>
          </xdr:txBody>
        </xdr:sp>
        <xdr:sp>
          <xdr:nvSpPr>
            <xdr:cNvPr id="118" name="Line 53"/>
            <xdr:cNvSpPr>
              <a:spLocks/>
            </xdr:cNvSpPr>
          </xdr:nvSpPr>
          <xdr:spPr>
            <a:xfrm>
              <a:off x="10577021" y="14539067"/>
              <a:ext cx="365853" cy="1295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Text Box 57"/>
            <xdr:cNvSpPr txBox="1">
              <a:spLocks noChangeArrowheads="1"/>
            </xdr:cNvSpPr>
          </xdr:nvSpPr>
          <xdr:spPr>
            <a:xfrm>
              <a:off x="11651104" y="14763839"/>
              <a:ext cx="358028" cy="22477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p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, t</a:t>
              </a:r>
              <a:r>
                <a:rPr lang="en-US" cap="none" sz="1000" b="1" i="0" u="none" baseline="-2500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120" name="Oval 107"/>
            <xdr:cNvSpPr>
              <a:spLocks/>
            </xdr:cNvSpPr>
          </xdr:nvSpPr>
          <xdr:spPr>
            <a:xfrm>
              <a:off x="11430027" y="14660946"/>
              <a:ext cx="76301" cy="76251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1" name="Oval 108"/>
            <xdr:cNvSpPr>
              <a:spLocks/>
            </xdr:cNvSpPr>
          </xdr:nvSpPr>
          <xdr:spPr>
            <a:xfrm>
              <a:off x="10919397" y="14920016"/>
              <a:ext cx="76301" cy="76251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2" name="Text Box 114"/>
            <xdr:cNvSpPr txBox="1">
              <a:spLocks noChangeArrowheads="1"/>
            </xdr:cNvSpPr>
          </xdr:nvSpPr>
          <xdr:spPr>
            <a:xfrm>
              <a:off x="11565021" y="15236044"/>
              <a:ext cx="179014" cy="18465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123" name="Text Box 115"/>
            <xdr:cNvSpPr txBox="1">
              <a:spLocks noChangeArrowheads="1"/>
            </xdr:cNvSpPr>
          </xdr:nvSpPr>
          <xdr:spPr>
            <a:xfrm>
              <a:off x="10138780" y="15552378"/>
              <a:ext cx="432372" cy="18863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h</a:t>
              </a:r>
              <a:r>
                <a:rPr lang="en-US" cap="none" sz="800" b="1" i="0" u="none" baseline="-2500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1</a:t>
              </a: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, p</a:t>
              </a:r>
              <a:r>
                <a:rPr lang="en-US" cap="none" sz="800" b="1" i="0" u="none" baseline="-2500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124" name="Oval 78"/>
            <xdr:cNvSpPr>
              <a:spLocks/>
            </xdr:cNvSpPr>
          </xdr:nvSpPr>
          <xdr:spPr>
            <a:xfrm>
              <a:off x="10179865" y="15392527"/>
              <a:ext cx="84127" cy="76251"/>
            </a:xfrm>
            <a:prstGeom prst="ellipse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25" name="TextBox 2"/>
          <xdr:cNvSpPr txBox="1">
            <a:spLocks noChangeArrowheads="1"/>
          </xdr:cNvSpPr>
        </xdr:nvSpPr>
        <xdr:spPr>
          <a:xfrm>
            <a:off x="9212458" y="16238378"/>
            <a:ext cx="243576" cy="282032"/>
          </a:xfrm>
          <a:prstGeom prst="rect">
            <a:avLst/>
          </a:prstGeom>
          <a:solidFill>
            <a:srgbClr val="ED7D31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26" name="TextBox 126"/>
          <xdr:cNvSpPr txBox="1">
            <a:spLocks noChangeArrowheads="1"/>
          </xdr:cNvSpPr>
        </xdr:nvSpPr>
        <xdr:spPr>
          <a:xfrm>
            <a:off x="11307800" y="15514320"/>
            <a:ext cx="243576" cy="282032"/>
          </a:xfrm>
          <a:prstGeom prst="rect">
            <a:avLst/>
          </a:prstGeom>
          <a:solidFill>
            <a:srgbClr val="ED7D31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127" name="TextBox 127"/>
          <xdr:cNvSpPr txBox="1">
            <a:spLocks noChangeArrowheads="1"/>
          </xdr:cNvSpPr>
        </xdr:nvSpPr>
        <xdr:spPr>
          <a:xfrm>
            <a:off x="10683697" y="15910540"/>
            <a:ext cx="243576" cy="282032"/>
          </a:xfrm>
          <a:prstGeom prst="rect">
            <a:avLst/>
          </a:prstGeom>
          <a:solidFill>
            <a:srgbClr val="ED7D31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128" name="TextBox 128"/>
          <xdr:cNvSpPr txBox="1">
            <a:spLocks noChangeArrowheads="1"/>
          </xdr:cNvSpPr>
        </xdr:nvSpPr>
        <xdr:spPr>
          <a:xfrm>
            <a:off x="10096767" y="15567651"/>
            <a:ext cx="586931" cy="380842"/>
          </a:xfrm>
          <a:prstGeom prst="rect">
            <a:avLst/>
          </a:prstGeom>
          <a:solidFill>
            <a:srgbClr val="ED7D31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Pump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175</xdr:row>
      <xdr:rowOff>0</xdr:rowOff>
    </xdr:from>
    <xdr:to>
      <xdr:col>14</xdr:col>
      <xdr:colOff>323850</xdr:colOff>
      <xdr:row>201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3166050"/>
          <a:ext cx="768667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fconsult.com/en/do-business/your-industry/process-industry/steam-and-water-program-excel-addin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sonmcdaniel.com/2011Catalog/EngineeringData.pdf" TargetMode="External" /><Relationship Id="rId2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2:O40"/>
  <sheetViews>
    <sheetView showGridLines="0" tabSelected="1" zoomScalePageLayoutView="0" workbookViewId="0" topLeftCell="A1">
      <selection activeCell="L22" sqref="L22"/>
    </sheetView>
  </sheetViews>
  <sheetFormatPr defaultColWidth="10.28125" defaultRowHeight="15"/>
  <cols>
    <col min="1" max="1" width="2.7109375" style="0" customWidth="1"/>
    <col min="2" max="2" width="10.28125" style="0" customWidth="1"/>
    <col min="3" max="3" width="27.8515625" style="0" customWidth="1"/>
    <col min="4" max="4" width="12.421875" style="0" bestFit="1" customWidth="1"/>
    <col min="5" max="5" width="10.28125" style="0" customWidth="1"/>
    <col min="6" max="6" width="3.421875" style="0" customWidth="1"/>
    <col min="7" max="7" width="10.28125" style="0" customWidth="1"/>
    <col min="8" max="8" width="25.57421875" style="0" customWidth="1"/>
    <col min="9" max="9" width="11.7109375" style="0" customWidth="1"/>
    <col min="10" max="10" width="10.28125" style="0" customWidth="1"/>
    <col min="11" max="11" width="4.00390625" style="0" customWidth="1"/>
    <col min="12" max="12" width="12.421875" style="0" customWidth="1"/>
    <col min="13" max="13" width="30.421875" style="0" customWidth="1"/>
    <col min="14" max="14" width="12.28125" style="0" bestFit="1" customWidth="1"/>
  </cols>
  <sheetData>
    <row r="1" ht="10.5" customHeight="1"/>
    <row r="2" spans="2:15" ht="15.75" thickBot="1">
      <c r="B2" s="386" t="s">
        <v>637</v>
      </c>
      <c r="O2" s="363" t="s">
        <v>774</v>
      </c>
    </row>
    <row r="3" spans="2:15" ht="15.75" thickTop="1">
      <c r="B3" s="472" t="s">
        <v>178</v>
      </c>
      <c r="C3" s="473"/>
      <c r="D3" s="473"/>
      <c r="E3" s="474"/>
      <c r="G3" s="574" t="s">
        <v>179</v>
      </c>
      <c r="H3" s="575"/>
      <c r="I3" s="575"/>
      <c r="J3" s="576"/>
      <c r="L3" s="574" t="s">
        <v>180</v>
      </c>
      <c r="M3" s="575"/>
      <c r="N3" s="575"/>
      <c r="O3" s="576"/>
    </row>
    <row r="4" spans="2:15" ht="14.25">
      <c r="B4" s="370" t="s">
        <v>181</v>
      </c>
      <c r="C4" s="18"/>
      <c r="D4" s="123">
        <v>140</v>
      </c>
      <c r="E4" s="378" t="s">
        <v>50</v>
      </c>
      <c r="G4" s="370" t="s">
        <v>181</v>
      </c>
      <c r="H4" s="18"/>
      <c r="I4" s="123">
        <v>140</v>
      </c>
      <c r="J4" s="378" t="s">
        <v>50</v>
      </c>
      <c r="L4" s="370" t="s">
        <v>181</v>
      </c>
      <c r="M4" s="20"/>
      <c r="N4" s="123">
        <v>140</v>
      </c>
      <c r="O4" s="378" t="s">
        <v>50</v>
      </c>
    </row>
    <row r="5" spans="2:15" ht="14.25">
      <c r="B5" s="370"/>
      <c r="C5" s="124"/>
      <c r="D5" s="125"/>
      <c r="E5" s="378"/>
      <c r="G5" s="370" t="s">
        <v>184</v>
      </c>
      <c r="H5" s="18"/>
      <c r="I5" s="123">
        <v>0.8</v>
      </c>
      <c r="J5" s="378" t="s">
        <v>54</v>
      </c>
      <c r="L5" s="370" t="s">
        <v>185</v>
      </c>
      <c r="M5" s="20"/>
      <c r="N5" s="123">
        <v>500</v>
      </c>
      <c r="O5" s="378" t="s">
        <v>36</v>
      </c>
    </row>
    <row r="6" spans="2:15" ht="15">
      <c r="B6" s="370" t="s">
        <v>186</v>
      </c>
      <c r="C6" s="124" t="s">
        <v>775</v>
      </c>
      <c r="D6" s="125">
        <f>SaturWater_Entropy_p(D4)</f>
        <v>3.6230008823745288</v>
      </c>
      <c r="E6" s="378" t="s">
        <v>183</v>
      </c>
      <c r="G6" s="370" t="s">
        <v>187</v>
      </c>
      <c r="H6" s="58" t="s">
        <v>188</v>
      </c>
      <c r="I6" s="126">
        <v>336.64143501009096</v>
      </c>
      <c r="J6" s="378" t="s">
        <v>36</v>
      </c>
      <c r="L6" s="370" t="s">
        <v>189</v>
      </c>
      <c r="M6" s="20" t="s">
        <v>190</v>
      </c>
      <c r="N6" s="125">
        <v>6.39374719014665</v>
      </c>
      <c r="O6" s="378" t="s">
        <v>191</v>
      </c>
    </row>
    <row r="7" spans="2:15" ht="14.25">
      <c r="B7" s="370" t="s">
        <v>187</v>
      </c>
      <c r="C7" s="58" t="s">
        <v>192</v>
      </c>
      <c r="D7" s="126">
        <f>H2O_SaturationTemp_p(D4)</f>
        <v>336.6693686281236</v>
      </c>
      <c r="E7" s="378" t="s">
        <v>36</v>
      </c>
      <c r="G7" s="370" t="s">
        <v>193</v>
      </c>
      <c r="H7" s="58" t="s">
        <v>194</v>
      </c>
      <c r="I7" s="126">
        <v>2428.220048095388</v>
      </c>
      <c r="J7" s="378" t="s">
        <v>195</v>
      </c>
      <c r="L7" s="370" t="s">
        <v>196</v>
      </c>
      <c r="M7" s="20" t="s">
        <v>197</v>
      </c>
      <c r="N7" s="126">
        <v>3323.8261892965365</v>
      </c>
      <c r="O7" s="378" t="s">
        <v>195</v>
      </c>
    </row>
    <row r="8" spans="2:15" ht="15.75">
      <c r="B8" s="370" t="s">
        <v>198</v>
      </c>
      <c r="C8" s="127" t="s">
        <v>199</v>
      </c>
      <c r="D8" s="128">
        <f>SaturWater_Enthalpy_t(D7)</f>
        <v>1570.8784764178083</v>
      </c>
      <c r="E8" s="378" t="s">
        <v>195</v>
      </c>
      <c r="G8" s="370" t="s">
        <v>200</v>
      </c>
      <c r="H8" s="124" t="s">
        <v>201</v>
      </c>
      <c r="I8" s="125">
        <v>5.029048244304056</v>
      </c>
      <c r="J8" s="378" t="s">
        <v>191</v>
      </c>
      <c r="L8" s="370" t="s">
        <v>202</v>
      </c>
      <c r="M8" s="129" t="s">
        <v>203</v>
      </c>
      <c r="N8" s="130">
        <v>0.022509412391490527</v>
      </c>
      <c r="O8" s="378" t="s">
        <v>204</v>
      </c>
    </row>
    <row r="9" spans="2:15" ht="14.25">
      <c r="B9" s="371"/>
      <c r="C9" s="20"/>
      <c r="D9" s="20"/>
      <c r="E9" s="378"/>
      <c r="G9" s="370"/>
      <c r="H9" s="18"/>
      <c r="I9" s="18"/>
      <c r="J9" s="378"/>
      <c r="L9" s="370"/>
      <c r="M9" s="18"/>
      <c r="N9" s="20"/>
      <c r="O9" s="378"/>
    </row>
    <row r="10" spans="2:15" ht="14.25">
      <c r="B10" s="371" t="s">
        <v>205</v>
      </c>
      <c r="C10" s="20"/>
      <c r="D10" s="20"/>
      <c r="E10" s="378"/>
      <c r="G10" s="370" t="s">
        <v>193</v>
      </c>
      <c r="H10" s="58" t="s">
        <v>194</v>
      </c>
      <c r="I10" s="126">
        <v>2428.220048095388</v>
      </c>
      <c r="J10" s="378" t="s">
        <v>195</v>
      </c>
      <c r="L10" s="372" t="s">
        <v>206</v>
      </c>
      <c r="M10" s="131" t="s">
        <v>207</v>
      </c>
      <c r="N10" s="132">
        <v>2.9178967415660954E-05</v>
      </c>
      <c r="O10" s="378" t="s">
        <v>41</v>
      </c>
    </row>
    <row r="11" spans="2:15" ht="14.25">
      <c r="B11" s="370" t="s">
        <v>208</v>
      </c>
      <c r="C11" s="58" t="s">
        <v>209</v>
      </c>
      <c r="D11" s="365">
        <f>H2O_SaturationPressure_s(D6)</f>
        <v>139.9999111027703</v>
      </c>
      <c r="E11" s="378" t="s">
        <v>50</v>
      </c>
      <c r="G11" s="370" t="s">
        <v>210</v>
      </c>
      <c r="H11" s="58" t="s">
        <v>211</v>
      </c>
      <c r="I11" s="126">
        <v>2428.220048095388</v>
      </c>
      <c r="J11" s="378" t="s">
        <v>195</v>
      </c>
      <c r="L11" s="370" t="s">
        <v>212</v>
      </c>
      <c r="M11" s="20" t="s">
        <v>213</v>
      </c>
      <c r="N11" s="126">
        <v>3323.8261885686884</v>
      </c>
      <c r="O11" s="378" t="s">
        <v>195</v>
      </c>
    </row>
    <row r="12" spans="2:15" ht="14.25">
      <c r="B12" s="370" t="s">
        <v>214</v>
      </c>
      <c r="C12" s="58" t="s">
        <v>215</v>
      </c>
      <c r="D12" s="365">
        <f>H2O_SaturationPressure_t(D7)</f>
        <v>140.0000000000008</v>
      </c>
      <c r="E12" s="378" t="s">
        <v>50</v>
      </c>
      <c r="G12" s="370" t="s">
        <v>216</v>
      </c>
      <c r="H12" s="20" t="s">
        <v>217</v>
      </c>
      <c r="I12" s="130">
        <v>0.009518192557202</v>
      </c>
      <c r="J12" s="378"/>
      <c r="L12" s="370" t="s">
        <v>196</v>
      </c>
      <c r="M12" s="20" t="s">
        <v>197</v>
      </c>
      <c r="N12" s="126">
        <v>3323.8261892965365</v>
      </c>
      <c r="O12" s="378" t="s">
        <v>195</v>
      </c>
    </row>
    <row r="13" spans="2:15" ht="14.25">
      <c r="B13" s="370"/>
      <c r="C13" s="58"/>
      <c r="D13" s="365"/>
      <c r="E13" s="378"/>
      <c r="G13" s="370" t="s">
        <v>218</v>
      </c>
      <c r="H13" s="20" t="s">
        <v>219</v>
      </c>
      <c r="I13" s="130">
        <v>0.009518192557202</v>
      </c>
      <c r="J13" s="383"/>
      <c r="L13" s="370" t="s">
        <v>220</v>
      </c>
      <c r="M13" s="20" t="s">
        <v>221</v>
      </c>
      <c r="N13" s="126">
        <v>3323.826175744245</v>
      </c>
      <c r="O13" s="378" t="s">
        <v>195</v>
      </c>
    </row>
    <row r="14" spans="2:15" ht="15">
      <c r="B14" s="370" t="s">
        <v>222</v>
      </c>
      <c r="C14" s="58" t="s">
        <v>223</v>
      </c>
      <c r="D14" s="365">
        <f>H2O_SaturationTemp_s(D6)</f>
        <v>336.6693184524869</v>
      </c>
      <c r="E14" s="378" t="s">
        <v>36</v>
      </c>
      <c r="G14" s="370" t="s">
        <v>224</v>
      </c>
      <c r="H14" s="58" t="s">
        <v>225</v>
      </c>
      <c r="I14" s="126">
        <v>1070.7323586289097</v>
      </c>
      <c r="J14" s="384" t="s">
        <v>195</v>
      </c>
      <c r="L14" s="370" t="s">
        <v>200</v>
      </c>
      <c r="M14" s="20" t="s">
        <v>226</v>
      </c>
      <c r="N14" s="125">
        <v>6.393745444139733</v>
      </c>
      <c r="O14" s="378" t="s">
        <v>191</v>
      </c>
    </row>
    <row r="15" spans="2:15" ht="15">
      <c r="B15" s="372" t="s">
        <v>227</v>
      </c>
      <c r="C15" s="133" t="s">
        <v>228</v>
      </c>
      <c r="D15" s="366">
        <f>SaturWater_DynViscosity_t(D7)</f>
        <v>7.183689479262471E-05</v>
      </c>
      <c r="E15" s="378" t="s">
        <v>41</v>
      </c>
      <c r="G15" s="370" t="s">
        <v>229</v>
      </c>
      <c r="H15" s="58" t="s">
        <v>230</v>
      </c>
      <c r="I15" s="126">
        <v>1070.7323586289097</v>
      </c>
      <c r="J15" s="384" t="s">
        <v>195</v>
      </c>
      <c r="L15" s="370" t="s">
        <v>189</v>
      </c>
      <c r="M15" s="20" t="s">
        <v>190</v>
      </c>
      <c r="N15" s="125">
        <v>6.39374719014665</v>
      </c>
      <c r="O15" s="378" t="s">
        <v>191</v>
      </c>
    </row>
    <row r="16" spans="2:15" ht="14.25">
      <c r="B16" s="370" t="s">
        <v>231</v>
      </c>
      <c r="C16" s="127" t="s">
        <v>232</v>
      </c>
      <c r="D16" s="367">
        <f>SaturWater_Enthalpy_p(D4)</f>
        <v>1570.8784764178104</v>
      </c>
      <c r="E16" s="378" t="s">
        <v>195</v>
      </c>
      <c r="G16" s="370" t="s">
        <v>233</v>
      </c>
      <c r="H16" s="58" t="s">
        <v>234</v>
      </c>
      <c r="I16" s="18">
        <v>0.8000000000000002</v>
      </c>
      <c r="J16" s="384" t="s">
        <v>39</v>
      </c>
      <c r="L16" s="370" t="s">
        <v>235</v>
      </c>
      <c r="M16" s="58" t="s">
        <v>236</v>
      </c>
      <c r="N16" s="130">
        <v>0.08005649088158878</v>
      </c>
      <c r="O16" s="378" t="s">
        <v>237</v>
      </c>
    </row>
    <row r="17" spans="2:15" ht="14.25">
      <c r="B17" s="370" t="s">
        <v>198</v>
      </c>
      <c r="C17" s="127" t="s">
        <v>199</v>
      </c>
      <c r="D17" s="367">
        <f>SaturWater_Enthalpy_t(D7)</f>
        <v>1570.8784764178083</v>
      </c>
      <c r="E17" s="378" t="s">
        <v>195</v>
      </c>
      <c r="G17" s="370" t="s">
        <v>238</v>
      </c>
      <c r="H17" s="58" t="s">
        <v>239</v>
      </c>
      <c r="I17" s="18">
        <v>0.7999999999999999</v>
      </c>
      <c r="J17" s="384" t="s">
        <v>39</v>
      </c>
      <c r="L17" s="388" t="s">
        <v>240</v>
      </c>
      <c r="M17" s="387" t="s">
        <v>241</v>
      </c>
      <c r="N17" s="137">
        <v>1.2902742376834935</v>
      </c>
      <c r="O17" s="379" t="s">
        <v>39</v>
      </c>
    </row>
    <row r="18" spans="2:15" ht="14.25">
      <c r="B18" s="370"/>
      <c r="C18" s="124"/>
      <c r="D18" s="368"/>
      <c r="E18" s="378"/>
      <c r="G18" s="370" t="s">
        <v>248</v>
      </c>
      <c r="H18" s="58" t="s">
        <v>249</v>
      </c>
      <c r="I18" s="18">
        <v>0.7999999999999999</v>
      </c>
      <c r="J18" s="384" t="s">
        <v>39</v>
      </c>
      <c r="L18" s="388" t="s">
        <v>244</v>
      </c>
      <c r="M18" s="387" t="s">
        <v>245</v>
      </c>
      <c r="N18" s="137">
        <v>1.2902289336183712</v>
      </c>
      <c r="O18" s="379" t="s">
        <v>39</v>
      </c>
    </row>
    <row r="19" spans="2:15" ht="14.25">
      <c r="B19" s="370" t="s">
        <v>246</v>
      </c>
      <c r="C19" s="124" t="s">
        <v>247</v>
      </c>
      <c r="D19" s="368">
        <f>SaturWater_Entropy_t(D7)</f>
        <v>3.6230008823745288</v>
      </c>
      <c r="E19" s="378" t="s">
        <v>183</v>
      </c>
      <c r="G19" s="371"/>
      <c r="H19" s="58"/>
      <c r="I19" s="20"/>
      <c r="J19" s="383"/>
      <c r="L19" s="388" t="s">
        <v>250</v>
      </c>
      <c r="M19" s="387" t="s">
        <v>251</v>
      </c>
      <c r="N19" s="137">
        <v>1.2902918224184896</v>
      </c>
      <c r="O19" s="379" t="s">
        <v>39</v>
      </c>
    </row>
    <row r="20" spans="2:15" ht="14.25">
      <c r="B20" s="370" t="s">
        <v>252</v>
      </c>
      <c r="C20" s="124" t="s">
        <v>253</v>
      </c>
      <c r="D20" s="368">
        <f>SaturWater_HeatConduct_t(D7)</f>
        <v>0.4746173155639388</v>
      </c>
      <c r="E20" s="378" t="s">
        <v>237</v>
      </c>
      <c r="G20" s="371"/>
      <c r="H20" s="58"/>
      <c r="I20" s="20"/>
      <c r="J20" s="383"/>
      <c r="L20" s="385" t="s">
        <v>254</v>
      </c>
      <c r="M20" s="58" t="s">
        <v>255</v>
      </c>
      <c r="N20" s="125">
        <v>1.4279106447846681</v>
      </c>
      <c r="O20" s="378" t="s">
        <v>39</v>
      </c>
    </row>
    <row r="21" spans="2:15" ht="14.25">
      <c r="B21" s="373" t="s">
        <v>256</v>
      </c>
      <c r="C21" s="124" t="s">
        <v>257</v>
      </c>
      <c r="D21" s="368">
        <f>SaturWater_Prandtl_t(D7)</f>
        <v>1.1823575608918395</v>
      </c>
      <c r="E21" s="379" t="s">
        <v>39</v>
      </c>
      <c r="G21" s="371"/>
      <c r="H21" s="58"/>
      <c r="I21" s="18"/>
      <c r="J21" s="383"/>
      <c r="L21" s="370" t="s">
        <v>258</v>
      </c>
      <c r="M21" s="58" t="s">
        <v>259</v>
      </c>
      <c r="N21" s="126">
        <v>140.00001032875244</v>
      </c>
      <c r="O21" s="378" t="s">
        <v>50</v>
      </c>
    </row>
    <row r="22" spans="2:15" ht="14.25">
      <c r="B22" s="370" t="s">
        <v>260</v>
      </c>
      <c r="C22" s="126" t="s">
        <v>261</v>
      </c>
      <c r="D22" s="365">
        <f>SaturWater_SonicVelocity_t(D7)</f>
        <v>682.83670776221</v>
      </c>
      <c r="E22" s="379" t="s">
        <v>262</v>
      </c>
      <c r="G22" s="371"/>
      <c r="H22" s="58"/>
      <c r="I22" s="20"/>
      <c r="J22" s="383"/>
      <c r="L22" s="370" t="s">
        <v>263</v>
      </c>
      <c r="M22" s="58" t="s">
        <v>264</v>
      </c>
      <c r="N22" s="126">
        <v>140.00002385245384</v>
      </c>
      <c r="O22" s="378" t="s">
        <v>50</v>
      </c>
    </row>
    <row r="23" spans="2:15" ht="14.25">
      <c r="B23" s="370" t="s">
        <v>265</v>
      </c>
      <c r="C23" s="20" t="s">
        <v>266</v>
      </c>
      <c r="D23" s="368">
        <f>SaturWater_SpecHeat_Cp_t(D7)</f>
        <v>7.81168747907551</v>
      </c>
      <c r="E23" s="378" t="s">
        <v>191</v>
      </c>
      <c r="G23" s="371"/>
      <c r="H23" s="20"/>
      <c r="I23" s="20"/>
      <c r="J23" s="383"/>
      <c r="L23" s="370" t="s">
        <v>267</v>
      </c>
      <c r="M23" s="58" t="s">
        <v>268</v>
      </c>
      <c r="N23" s="126">
        <v>637.5455158108437</v>
      </c>
      <c r="O23" s="378" t="s">
        <v>262</v>
      </c>
    </row>
    <row r="24" spans="2:15" ht="15.75">
      <c r="B24" s="370" t="s">
        <v>269</v>
      </c>
      <c r="C24" s="134" t="s">
        <v>270</v>
      </c>
      <c r="D24" s="573">
        <f>SaturWater_SpecVolume_t(D7)</f>
        <v>0.0016097128965321076</v>
      </c>
      <c r="E24" s="378" t="s">
        <v>204</v>
      </c>
      <c r="G24" s="371"/>
      <c r="H24" s="20"/>
      <c r="I24" s="20"/>
      <c r="J24" s="383"/>
      <c r="L24" s="370" t="s">
        <v>271</v>
      </c>
      <c r="M24" s="58" t="s">
        <v>272</v>
      </c>
      <c r="N24" s="126">
        <v>637.5458274119237</v>
      </c>
      <c r="O24" s="378" t="s">
        <v>262</v>
      </c>
    </row>
    <row r="25" spans="2:15" ht="14.25">
      <c r="B25" s="373" t="s">
        <v>273</v>
      </c>
      <c r="C25" s="136" t="s">
        <v>274</v>
      </c>
      <c r="D25" s="365">
        <f>SaturWater_Temperature_h(D8)</f>
        <v>336.6700561964331</v>
      </c>
      <c r="E25" s="379" t="s">
        <v>36</v>
      </c>
      <c r="G25" s="371"/>
      <c r="H25" s="20"/>
      <c r="I25" s="20"/>
      <c r="J25" s="383"/>
      <c r="L25" s="370" t="s">
        <v>275</v>
      </c>
      <c r="M25" s="20" t="s">
        <v>276</v>
      </c>
      <c r="N25" s="125">
        <v>2.7865090688396776</v>
      </c>
      <c r="O25" s="378"/>
    </row>
    <row r="26" spans="2:15" ht="14.25">
      <c r="B26" s="372" t="s">
        <v>277</v>
      </c>
      <c r="C26" s="58" t="s">
        <v>278</v>
      </c>
      <c r="D26" s="573">
        <f>Water_SurfaceTension_t(D7)</f>
        <v>0.006316679348994296</v>
      </c>
      <c r="E26" s="378" t="s">
        <v>279</v>
      </c>
      <c r="G26" s="371"/>
      <c r="H26" s="20"/>
      <c r="I26" s="20"/>
      <c r="J26" s="383"/>
      <c r="L26" s="370" t="s">
        <v>280</v>
      </c>
      <c r="M26" s="20" t="s">
        <v>281</v>
      </c>
      <c r="N26" s="368">
        <f>H2O_SpecificHeat_Cv_t_p(N5,N4)</f>
        <v>1.9308781876136518</v>
      </c>
      <c r="O26" s="378"/>
    </row>
    <row r="27" spans="2:15" ht="14.25">
      <c r="B27" s="371"/>
      <c r="C27" s="20"/>
      <c r="D27" s="369"/>
      <c r="E27" s="378"/>
      <c r="G27" s="371"/>
      <c r="H27" s="20"/>
      <c r="I27" s="20"/>
      <c r="J27" s="378"/>
      <c r="L27" s="370" t="s">
        <v>282</v>
      </c>
      <c r="M27" s="20" t="s">
        <v>283</v>
      </c>
      <c r="N27" s="135">
        <v>0.022509412391490527</v>
      </c>
      <c r="O27" s="378"/>
    </row>
    <row r="28" spans="2:15" ht="15.75">
      <c r="B28" s="374" t="s">
        <v>284</v>
      </c>
      <c r="C28" s="18"/>
      <c r="D28" s="369"/>
      <c r="E28" s="378"/>
      <c r="G28" s="371"/>
      <c r="H28" s="20"/>
      <c r="I28" s="20"/>
      <c r="J28" s="378"/>
      <c r="L28" s="370" t="s">
        <v>202</v>
      </c>
      <c r="M28" s="129" t="s">
        <v>203</v>
      </c>
      <c r="N28" s="135">
        <f>H2O_SpecVolume_p_h(N4,N7)</f>
        <v>0.02254178885986495</v>
      </c>
      <c r="O28" s="378" t="s">
        <v>204</v>
      </c>
    </row>
    <row r="29" spans="2:15" ht="14.25">
      <c r="B29" s="372" t="s">
        <v>227</v>
      </c>
      <c r="C29" s="20" t="s">
        <v>285</v>
      </c>
      <c r="D29" s="366">
        <f>SaturSteam_DynViscosity_t(D7)</f>
        <v>2.221054449115013E-05</v>
      </c>
      <c r="E29" s="378" t="s">
        <v>41</v>
      </c>
      <c r="G29" s="371"/>
      <c r="H29" s="20"/>
      <c r="I29" s="20"/>
      <c r="J29" s="378"/>
      <c r="L29" s="370" t="s">
        <v>286</v>
      </c>
      <c r="M29" s="20" t="s">
        <v>287</v>
      </c>
      <c r="N29" s="126">
        <v>499.9995156257744</v>
      </c>
      <c r="O29" s="378" t="s">
        <v>36</v>
      </c>
    </row>
    <row r="30" spans="2:15" ht="14.25">
      <c r="B30" s="370" t="s">
        <v>198</v>
      </c>
      <c r="C30" s="127" t="s">
        <v>288</v>
      </c>
      <c r="D30" s="367">
        <f>SaturSteam_Enthalpy_p(D4)</f>
        <v>2638.0934483442775</v>
      </c>
      <c r="E30" s="378" t="s">
        <v>195</v>
      </c>
      <c r="G30" s="371"/>
      <c r="H30" s="20"/>
      <c r="I30" s="20"/>
      <c r="J30" s="378"/>
      <c r="L30" s="370" t="s">
        <v>289</v>
      </c>
      <c r="M30" s="20" t="s">
        <v>290</v>
      </c>
      <c r="N30" s="126">
        <v>499.9999997388369</v>
      </c>
      <c r="O30" s="378" t="s">
        <v>36</v>
      </c>
    </row>
    <row r="31" spans="2:15" ht="14.25">
      <c r="B31" s="370" t="s">
        <v>231</v>
      </c>
      <c r="C31" s="127" t="s">
        <v>291</v>
      </c>
      <c r="D31" s="367">
        <f>SaturSteam_Enthalpy_t(D7)</f>
        <v>2638.0934483442775</v>
      </c>
      <c r="E31" s="378" t="s">
        <v>195</v>
      </c>
      <c r="G31" s="370" t="s">
        <v>243</v>
      </c>
      <c r="H31" s="58" t="s">
        <v>749</v>
      </c>
      <c r="I31" s="20"/>
      <c r="J31" s="378"/>
      <c r="L31" s="370" t="s">
        <v>292</v>
      </c>
      <c r="M31" s="20" t="s">
        <v>293</v>
      </c>
      <c r="N31" s="126">
        <v>499.9983493447253</v>
      </c>
      <c r="O31" s="378" t="s">
        <v>36</v>
      </c>
    </row>
    <row r="32" spans="2:15" ht="14.25">
      <c r="B32" s="370" t="s">
        <v>242</v>
      </c>
      <c r="C32" s="124" t="s">
        <v>182</v>
      </c>
      <c r="D32" s="368">
        <f>SaturSteam_Entropy_p(D4)</f>
        <v>5.373046664604507</v>
      </c>
      <c r="E32" s="378" t="s">
        <v>191</v>
      </c>
      <c r="G32" s="371"/>
      <c r="H32" s="122" t="s">
        <v>745</v>
      </c>
      <c r="I32" s="20"/>
      <c r="J32" s="378"/>
      <c r="L32" s="371"/>
      <c r="M32" s="20"/>
      <c r="N32" s="20"/>
      <c r="O32" s="378"/>
    </row>
    <row r="33" spans="2:15" ht="14.25">
      <c r="B33" s="370" t="s">
        <v>246</v>
      </c>
      <c r="C33" s="124" t="s">
        <v>294</v>
      </c>
      <c r="D33" s="368">
        <f>SaturSteam_Entropy_t(D7)</f>
        <v>5.373046664604507</v>
      </c>
      <c r="E33" s="378" t="s">
        <v>191</v>
      </c>
      <c r="G33" s="371"/>
      <c r="H33" s="138"/>
      <c r="I33" s="20"/>
      <c r="J33" s="378"/>
      <c r="L33" s="371"/>
      <c r="M33" s="20"/>
      <c r="N33" s="20" t="s">
        <v>54</v>
      </c>
      <c r="O33" s="378"/>
    </row>
    <row r="34" spans="2:15" ht="14.25">
      <c r="B34" s="370" t="s">
        <v>252</v>
      </c>
      <c r="C34" s="134" t="s">
        <v>295</v>
      </c>
      <c r="D34" s="137">
        <f>SaturSteam_HeatConduct_t(D7)</f>
        <v>0.10470526594372132</v>
      </c>
      <c r="E34" s="378" t="s">
        <v>237</v>
      </c>
      <c r="G34" s="371"/>
      <c r="H34" s="139"/>
      <c r="I34" s="20"/>
      <c r="J34" s="378"/>
      <c r="L34" s="371" t="s">
        <v>296</v>
      </c>
      <c r="M34" s="20"/>
      <c r="N34" s="20"/>
      <c r="O34" s="378"/>
    </row>
    <row r="35" spans="2:15" ht="14.25">
      <c r="B35" s="370" t="s">
        <v>256</v>
      </c>
      <c r="C35" s="124" t="s">
        <v>776</v>
      </c>
      <c r="D35" s="368">
        <f>SaturSteam_Prandtl_t(D7)</f>
        <v>2.388471991489526</v>
      </c>
      <c r="E35" s="378" t="s">
        <v>39</v>
      </c>
      <c r="G35" s="371"/>
      <c r="H35" s="139"/>
      <c r="I35" s="20"/>
      <c r="J35" s="378"/>
      <c r="L35" s="371" t="s">
        <v>297</v>
      </c>
      <c r="M35" s="140"/>
      <c r="N35" s="18">
        <f>N4</f>
        <v>140</v>
      </c>
      <c r="O35" s="378" t="s">
        <v>50</v>
      </c>
    </row>
    <row r="36" spans="2:15" ht="14.25">
      <c r="B36" s="370" t="s">
        <v>260</v>
      </c>
      <c r="C36" s="127" t="s">
        <v>298</v>
      </c>
      <c r="D36" s="367">
        <f>SaturSteam_SonicVelocity_t(D7)</f>
        <v>445.18487745265827</v>
      </c>
      <c r="E36" s="378" t="s">
        <v>262</v>
      </c>
      <c r="G36" s="371" t="s">
        <v>54</v>
      </c>
      <c r="H36" s="138" t="s">
        <v>54</v>
      </c>
      <c r="I36" s="20"/>
      <c r="J36" s="378"/>
      <c r="L36" s="371" t="s">
        <v>636</v>
      </c>
      <c r="M36" s="20"/>
      <c r="N36" s="20"/>
      <c r="O36" s="378"/>
    </row>
    <row r="37" spans="2:15" ht="14.25">
      <c r="B37" s="370" t="s">
        <v>265</v>
      </c>
      <c r="C37" s="124" t="s">
        <v>299</v>
      </c>
      <c r="D37" s="368">
        <f>SaturSteam_SpecHeat_Cp_t(D7)</f>
        <v>11.259768762881432</v>
      </c>
      <c r="E37" s="378" t="s">
        <v>191</v>
      </c>
      <c r="G37" s="371"/>
      <c r="H37" s="138" t="s">
        <v>54</v>
      </c>
      <c r="I37" s="20"/>
      <c r="J37" s="378"/>
      <c r="L37" s="371"/>
      <c r="M37" s="140" t="s">
        <v>635</v>
      </c>
      <c r="N37" s="126">
        <v>336.64143501009096</v>
      </c>
      <c r="O37" s="378" t="s">
        <v>36</v>
      </c>
    </row>
    <row r="38" spans="2:15" ht="16.5" thickBot="1">
      <c r="B38" s="375" t="s">
        <v>269</v>
      </c>
      <c r="C38" s="376" t="s">
        <v>300</v>
      </c>
      <c r="D38" s="377">
        <f>SaturSteam_SpecVolume_t(D7)</f>
        <v>0.01148885913420372</v>
      </c>
      <c r="E38" s="380" t="s">
        <v>204</v>
      </c>
      <c r="G38" s="381"/>
      <c r="H38" s="382"/>
      <c r="I38" s="382"/>
      <c r="J38" s="380"/>
      <c r="L38" s="381"/>
      <c r="M38" s="382"/>
      <c r="N38" s="382"/>
      <c r="O38" s="380"/>
    </row>
    <row r="39" ht="15" thickTop="1"/>
    <row r="40" ht="14.25">
      <c r="L40" t="s">
        <v>54</v>
      </c>
    </row>
  </sheetData>
  <sheetProtection/>
  <mergeCells count="2">
    <mergeCell ref="G3:J3"/>
    <mergeCell ref="L3:O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zoomScalePageLayoutView="0" workbookViewId="0" topLeftCell="A1">
      <selection activeCell="H26" sqref="H26"/>
    </sheetView>
  </sheetViews>
  <sheetFormatPr defaultColWidth="11.421875" defaultRowHeight="15"/>
  <cols>
    <col min="1" max="8" width="11.421875" style="0" customWidth="1"/>
    <col min="9" max="9" width="12.421875" style="0" bestFit="1" customWidth="1"/>
  </cols>
  <sheetData>
    <row r="1" spans="1:6" ht="14.25">
      <c r="A1" s="1">
        <v>-73.15</v>
      </c>
      <c r="B1" s="2">
        <v>0.0181</v>
      </c>
      <c r="C1" s="2">
        <v>1.007</v>
      </c>
      <c r="D1" s="2">
        <v>0.737</v>
      </c>
      <c r="E1" s="2">
        <v>1.7458</v>
      </c>
      <c r="F1" s="3">
        <v>1.325E-05</v>
      </c>
    </row>
    <row r="2" spans="1:6" ht="14.25">
      <c r="A2" s="4">
        <v>-23.15</v>
      </c>
      <c r="B2" s="5">
        <v>0.0223</v>
      </c>
      <c r="C2" s="5">
        <v>1.006</v>
      </c>
      <c r="D2" s="5">
        <v>0.72</v>
      </c>
      <c r="E2" s="5">
        <v>1.3947</v>
      </c>
      <c r="F2" s="6">
        <v>1.596E-05</v>
      </c>
    </row>
    <row r="3" spans="1:6" ht="14.25">
      <c r="A3" s="4">
        <v>26.85</v>
      </c>
      <c r="B3" s="5">
        <v>0.0263</v>
      </c>
      <c r="C3" s="5">
        <v>1.007</v>
      </c>
      <c r="D3" s="5">
        <v>0.707</v>
      </c>
      <c r="E3" s="5">
        <v>1.1614</v>
      </c>
      <c r="F3" s="6">
        <v>1.846E-05</v>
      </c>
    </row>
    <row r="4" spans="1:6" ht="14.25">
      <c r="A4" s="4">
        <v>76.85</v>
      </c>
      <c r="B4" s="5">
        <v>0.03</v>
      </c>
      <c r="C4" s="5">
        <v>1.009</v>
      </c>
      <c r="D4" s="5">
        <v>0.7</v>
      </c>
      <c r="E4" s="5">
        <v>0.995</v>
      </c>
      <c r="F4" s="6">
        <v>2.082E-05</v>
      </c>
    </row>
    <row r="5" spans="1:6" ht="14.25">
      <c r="A5" s="4">
        <v>126.85</v>
      </c>
      <c r="B5" s="5">
        <v>0.0338</v>
      </c>
      <c r="C5" s="5">
        <v>1.014</v>
      </c>
      <c r="D5" s="5">
        <v>0.69</v>
      </c>
      <c r="E5" s="5">
        <v>0.8711</v>
      </c>
      <c r="F5" s="6">
        <v>2.301E-05</v>
      </c>
    </row>
    <row r="6" spans="1:6" ht="14.25">
      <c r="A6" s="4">
        <v>176.85</v>
      </c>
      <c r="B6" s="5">
        <v>0.0373</v>
      </c>
      <c r="C6" s="5">
        <v>1.021</v>
      </c>
      <c r="D6" s="5">
        <v>0.686</v>
      </c>
      <c r="E6" s="5">
        <v>0.774</v>
      </c>
      <c r="F6" s="6">
        <v>2.507E-05</v>
      </c>
    </row>
    <row r="7" spans="1:6" ht="14.25">
      <c r="A7" s="4">
        <v>226.85</v>
      </c>
      <c r="B7" s="5">
        <v>0.0407</v>
      </c>
      <c r="C7" s="5">
        <v>1.03</v>
      </c>
      <c r="D7" s="5">
        <v>0.684</v>
      </c>
      <c r="E7" s="5">
        <v>0.6964</v>
      </c>
      <c r="F7" s="6">
        <v>2.701E-05</v>
      </c>
    </row>
    <row r="8" spans="1:6" ht="14.25">
      <c r="A8" s="4">
        <v>276.85</v>
      </c>
      <c r="B8" s="5">
        <v>0.0439</v>
      </c>
      <c r="C8" s="5">
        <v>1.04</v>
      </c>
      <c r="D8" s="5">
        <v>0.683</v>
      </c>
      <c r="E8" s="5">
        <v>0.6329</v>
      </c>
      <c r="F8" s="6">
        <v>2.884E-05</v>
      </c>
    </row>
    <row r="9" spans="1:6" ht="14.25">
      <c r="A9" s="4">
        <v>326.85</v>
      </c>
      <c r="B9" s="5">
        <v>0.0469</v>
      </c>
      <c r="C9" s="5">
        <v>1.051</v>
      </c>
      <c r="D9" s="5">
        <v>0.685</v>
      </c>
      <c r="E9" s="5">
        <v>0.5804</v>
      </c>
      <c r="F9" s="6">
        <v>3.058E-05</v>
      </c>
    </row>
    <row r="10" spans="1:6" ht="14.25">
      <c r="A10" s="4">
        <v>376.85</v>
      </c>
      <c r="B10" s="5">
        <v>0.0497</v>
      </c>
      <c r="C10" s="5">
        <v>1.063</v>
      </c>
      <c r="D10" s="5">
        <v>0.69</v>
      </c>
      <c r="E10" s="5">
        <v>0.5356</v>
      </c>
      <c r="F10" s="6">
        <v>3.225E-05</v>
      </c>
    </row>
    <row r="11" spans="1:6" ht="14.25">
      <c r="A11" s="4">
        <v>426.85</v>
      </c>
      <c r="B11" s="5">
        <v>0.0524</v>
      </c>
      <c r="C11" s="5">
        <v>1.075</v>
      </c>
      <c r="D11" s="5">
        <v>0.695</v>
      </c>
      <c r="E11" s="5">
        <v>0.4975</v>
      </c>
      <c r="F11" s="6">
        <v>3.388E-05</v>
      </c>
    </row>
    <row r="12" spans="1:6" ht="14.25">
      <c r="A12" s="4">
        <v>476.85</v>
      </c>
      <c r="B12" s="5">
        <v>0.0549</v>
      </c>
      <c r="C12" s="5">
        <v>1.087</v>
      </c>
      <c r="D12" s="5">
        <v>0.702</v>
      </c>
      <c r="E12" s="5">
        <v>0.4643</v>
      </c>
      <c r="F12" s="6">
        <v>3.546E-05</v>
      </c>
    </row>
    <row r="13" spans="1:6" ht="14.25">
      <c r="A13" s="4">
        <v>526.85</v>
      </c>
      <c r="B13" s="5">
        <v>0.0573</v>
      </c>
      <c r="C13" s="5">
        <v>1.099</v>
      </c>
      <c r="D13" s="5">
        <v>0.709</v>
      </c>
      <c r="E13" s="5">
        <v>0.4354</v>
      </c>
      <c r="F13" s="6">
        <v>3.698E-05</v>
      </c>
    </row>
    <row r="14" spans="1:6" ht="14.25">
      <c r="A14" s="4">
        <v>576.85</v>
      </c>
      <c r="B14" s="5">
        <v>0.0596</v>
      </c>
      <c r="C14" s="5">
        <v>1.11</v>
      </c>
      <c r="D14" s="5">
        <v>0.716</v>
      </c>
      <c r="E14" s="5">
        <v>0.4097</v>
      </c>
      <c r="F14" s="6">
        <v>3.843E-05</v>
      </c>
    </row>
    <row r="15" spans="1:6" ht="14.25">
      <c r="A15" s="4">
        <v>626.85</v>
      </c>
      <c r="B15" s="5">
        <v>0.062</v>
      </c>
      <c r="C15" s="5">
        <v>1.121</v>
      </c>
      <c r="D15" s="5">
        <v>0.72</v>
      </c>
      <c r="E15" s="5">
        <v>0.3868</v>
      </c>
      <c r="F15" s="6">
        <v>3.981E-05</v>
      </c>
    </row>
    <row r="16" spans="1:6" ht="14.25">
      <c r="A16" s="4">
        <v>676.85</v>
      </c>
      <c r="B16" s="5">
        <v>0.0643</v>
      </c>
      <c r="C16" s="5">
        <v>1.131</v>
      </c>
      <c r="D16" s="5">
        <v>0.723</v>
      </c>
      <c r="E16" s="5">
        <v>0.3666</v>
      </c>
      <c r="F16" s="6">
        <v>4.113E-05</v>
      </c>
    </row>
    <row r="17" spans="1:6" ht="15" thickBot="1">
      <c r="A17" s="7">
        <v>726.85</v>
      </c>
      <c r="B17" s="8">
        <v>0.0667</v>
      </c>
      <c r="C17" s="8">
        <v>1.141</v>
      </c>
      <c r="D17" s="8">
        <v>0.726</v>
      </c>
      <c r="E17" s="8">
        <v>0.3482</v>
      </c>
      <c r="F17" s="9">
        <v>4.244E-05</v>
      </c>
    </row>
    <row r="18" ht="15" thickBot="1"/>
    <row r="19" spans="1:7" ht="15">
      <c r="A19" s="10" t="s">
        <v>30</v>
      </c>
      <c r="B19" s="11" t="s">
        <v>31</v>
      </c>
      <c r="C19" s="11" t="s">
        <v>32</v>
      </c>
      <c r="D19" s="11" t="s">
        <v>33</v>
      </c>
      <c r="E19" s="12" t="s">
        <v>34</v>
      </c>
      <c r="F19" s="13" t="s">
        <v>35</v>
      </c>
      <c r="G19" s="14"/>
    </row>
    <row r="20" spans="1:7" ht="15.75">
      <c r="A20" s="15" t="s">
        <v>36</v>
      </c>
      <c r="B20" s="16" t="s">
        <v>37</v>
      </c>
      <c r="C20" s="16" t="s">
        <v>38</v>
      </c>
      <c r="D20" s="16" t="s">
        <v>39</v>
      </c>
      <c r="E20" s="16" t="s">
        <v>40</v>
      </c>
      <c r="F20" s="17" t="s">
        <v>41</v>
      </c>
      <c r="G20" s="18"/>
    </row>
    <row r="21" spans="1:6" ht="14.25">
      <c r="A21" s="19"/>
      <c r="B21" s="20"/>
      <c r="C21" s="20"/>
      <c r="D21" s="20"/>
      <c r="E21" s="20"/>
      <c r="F21" s="21"/>
    </row>
    <row r="22" spans="1:6" ht="15" thickBot="1">
      <c r="A22" s="22" t="s">
        <v>42</v>
      </c>
      <c r="B22" s="23"/>
      <c r="C22" s="23"/>
      <c r="D22" s="23"/>
      <c r="E22" s="23"/>
      <c r="F22" s="24"/>
    </row>
    <row r="25" ht="14.25">
      <c r="A25" t="s">
        <v>43</v>
      </c>
    </row>
    <row r="26" ht="14.25">
      <c r="A26" t="s">
        <v>44</v>
      </c>
    </row>
    <row r="27" spans="1:2" ht="14.25">
      <c r="A27" t="s">
        <v>45</v>
      </c>
      <c r="B27" s="25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J34"/>
  <sheetViews>
    <sheetView zoomScalePageLayoutView="0" workbookViewId="0" topLeftCell="A1">
      <selection activeCell="G32" sqref="G32"/>
    </sheetView>
  </sheetViews>
  <sheetFormatPr defaultColWidth="11.421875" defaultRowHeight="15"/>
  <sheetData>
    <row r="1" spans="1:10" ht="14.25">
      <c r="A1" s="1">
        <v>0</v>
      </c>
      <c r="B1" s="26">
        <v>0.569</v>
      </c>
      <c r="C1" s="2">
        <v>4.217</v>
      </c>
      <c r="D1" s="2">
        <v>12.99</v>
      </c>
      <c r="E1" s="27">
        <v>1000</v>
      </c>
      <c r="F1" s="28">
        <v>0.00175</v>
      </c>
      <c r="G1" s="28">
        <v>1.75E-06</v>
      </c>
      <c r="H1" s="29">
        <v>1.349300450557268E-07</v>
      </c>
      <c r="I1" s="30">
        <v>0.006108006263784397</v>
      </c>
      <c r="J1" s="25"/>
    </row>
    <row r="2" spans="1:10" ht="14.25">
      <c r="A2" s="4">
        <v>1.8500000000000227</v>
      </c>
      <c r="B2" s="31">
        <v>0.574</v>
      </c>
      <c r="C2" s="5">
        <v>4.211</v>
      </c>
      <c r="D2" s="5">
        <v>12.22</v>
      </c>
      <c r="E2" s="32">
        <v>1000</v>
      </c>
      <c r="F2" s="33">
        <v>0.001652</v>
      </c>
      <c r="G2" s="33">
        <v>1.652E-06</v>
      </c>
      <c r="H2" s="34">
        <v>1.363096651626692E-07</v>
      </c>
      <c r="I2" s="35">
        <v>0.006979329861419813</v>
      </c>
      <c r="J2" s="25"/>
    </row>
    <row r="3" spans="1:10" ht="14.25">
      <c r="A3" s="4">
        <v>6.850000000000023</v>
      </c>
      <c r="B3" s="31">
        <v>0.582</v>
      </c>
      <c r="C3" s="5">
        <v>4.198</v>
      </c>
      <c r="D3" s="5">
        <v>10.26</v>
      </c>
      <c r="E3" s="32">
        <v>1000</v>
      </c>
      <c r="F3" s="33">
        <v>0.001422</v>
      </c>
      <c r="G3" s="33">
        <v>1.4220000000000001E-06</v>
      </c>
      <c r="H3" s="34">
        <v>1.3863744640304906E-07</v>
      </c>
      <c r="I3" s="35">
        <v>0.009909238229255038</v>
      </c>
      <c r="J3" s="25"/>
    </row>
    <row r="4" spans="1:10" ht="14.25">
      <c r="A4" s="4">
        <v>11.85</v>
      </c>
      <c r="B4" s="31">
        <v>0.59</v>
      </c>
      <c r="C4" s="5">
        <v>4.189</v>
      </c>
      <c r="D4" s="5">
        <v>8.81</v>
      </c>
      <c r="E4" s="32">
        <v>1000</v>
      </c>
      <c r="F4" s="33">
        <v>0.001225</v>
      </c>
      <c r="G4" s="33">
        <v>1.225E-06</v>
      </c>
      <c r="H4" s="34">
        <v>1.4084507042253522E-07</v>
      </c>
      <c r="I4" s="35">
        <v>0.013876000341309827</v>
      </c>
      <c r="J4" s="25"/>
    </row>
    <row r="5" spans="1:10" ht="14.25">
      <c r="A5" s="4">
        <v>16.85</v>
      </c>
      <c r="B5" s="31">
        <v>0.598</v>
      </c>
      <c r="C5" s="5">
        <v>4.184</v>
      </c>
      <c r="D5" s="5">
        <v>7.56</v>
      </c>
      <c r="E5" s="32">
        <v>999.0009990009991</v>
      </c>
      <c r="F5" s="33">
        <v>0.00108</v>
      </c>
      <c r="G5" s="33">
        <v>1.08108E-06</v>
      </c>
      <c r="H5" s="34">
        <v>1.4306835564053535E-07</v>
      </c>
      <c r="I5" s="35">
        <v>0.019178331441811986</v>
      </c>
      <c r="J5" s="25"/>
    </row>
    <row r="6" spans="1:10" ht="14.25">
      <c r="A6" s="4">
        <v>21.85</v>
      </c>
      <c r="B6" s="31">
        <v>0.606</v>
      </c>
      <c r="C6" s="5">
        <v>4.181</v>
      </c>
      <c r="D6" s="5">
        <v>6.62</v>
      </c>
      <c r="E6" s="32">
        <v>998.003992015968</v>
      </c>
      <c r="F6" s="33">
        <v>0.000959</v>
      </c>
      <c r="G6" s="33">
        <v>9.60918E-07</v>
      </c>
      <c r="H6" s="34">
        <v>1.4523128438172687E-07</v>
      </c>
      <c r="I6" s="35">
        <v>0.026180790527056207</v>
      </c>
      <c r="J6" s="25"/>
    </row>
    <row r="7" spans="1:10" ht="14.25">
      <c r="A7" s="4">
        <v>26.85</v>
      </c>
      <c r="B7" s="31">
        <v>0.613</v>
      </c>
      <c r="C7" s="5">
        <v>4.179</v>
      </c>
      <c r="D7" s="5">
        <v>5.83</v>
      </c>
      <c r="E7" s="32">
        <v>997.0089730807578</v>
      </c>
      <c r="F7" s="33">
        <v>0.000855</v>
      </c>
      <c r="G7" s="33">
        <v>8.575649999999999E-07</v>
      </c>
      <c r="H7" s="34">
        <v>1.4712586743240009E-07</v>
      </c>
      <c r="I7" s="35">
        <v>0.035323425576413346</v>
      </c>
      <c r="J7" s="25"/>
    </row>
    <row r="8" spans="1:10" ht="14.25">
      <c r="A8" s="4">
        <v>31.85</v>
      </c>
      <c r="B8" s="31">
        <v>0.62</v>
      </c>
      <c r="C8" s="5">
        <v>4.178</v>
      </c>
      <c r="D8" s="5">
        <v>5.2</v>
      </c>
      <c r="E8" s="32">
        <v>995.0248756218907</v>
      </c>
      <c r="F8" s="33">
        <v>0.000769</v>
      </c>
      <c r="G8" s="33">
        <v>7.728449999999999E-07</v>
      </c>
      <c r="H8" s="34">
        <v>1.4913834370512205E-07</v>
      </c>
      <c r="I8" s="35">
        <v>0.047131919240408104</v>
      </c>
      <c r="J8" s="25"/>
    </row>
    <row r="9" spans="1:10" ht="14.25">
      <c r="A9" s="4">
        <v>36.85</v>
      </c>
      <c r="B9" s="31">
        <v>0.628</v>
      </c>
      <c r="C9" s="5">
        <v>4.178</v>
      </c>
      <c r="D9" s="5">
        <v>4.62</v>
      </c>
      <c r="E9" s="32">
        <v>993.04865938431</v>
      </c>
      <c r="F9" s="33">
        <v>0.000695</v>
      </c>
      <c r="G9" s="33">
        <v>6.998649999999998E-07</v>
      </c>
      <c r="H9" s="34">
        <v>1.5136333173767352E-07</v>
      </c>
      <c r="I9" s="35">
        <v>0.06222812914932803</v>
      </c>
      <c r="J9" s="25"/>
    </row>
    <row r="10" spans="1:10" ht="14.25">
      <c r="A10" s="4">
        <v>41.85</v>
      </c>
      <c r="B10" s="31">
        <v>0.634</v>
      </c>
      <c r="C10" s="5">
        <v>4.179</v>
      </c>
      <c r="D10" s="5">
        <v>4.16</v>
      </c>
      <c r="E10" s="32">
        <v>991.0802775024778</v>
      </c>
      <c r="F10" s="33">
        <v>0.000631</v>
      </c>
      <c r="G10" s="33">
        <v>6.36679E-07</v>
      </c>
      <c r="H10" s="34">
        <v>1.5307633405120842E-07</v>
      </c>
      <c r="I10" s="35">
        <v>0.08134090579523134</v>
      </c>
      <c r="J10" s="25"/>
    </row>
    <row r="11" spans="1:10" ht="14.25">
      <c r="A11" s="4">
        <v>46.85</v>
      </c>
      <c r="B11" s="31">
        <v>0.64</v>
      </c>
      <c r="C11" s="5">
        <v>4.18</v>
      </c>
      <c r="D11" s="5">
        <v>3.77</v>
      </c>
      <c r="E11" s="32">
        <v>989.1196834817014</v>
      </c>
      <c r="F11" s="33">
        <v>0.000577</v>
      </c>
      <c r="G11" s="33">
        <v>5.77577E-07</v>
      </c>
      <c r="H11" s="34">
        <v>1.5326315789473686E-07</v>
      </c>
      <c r="I11" s="35">
        <v>0.10531706312330934</v>
      </c>
      <c r="J11" s="25"/>
    </row>
    <row r="12" spans="1:10" ht="14.25">
      <c r="A12" s="4">
        <v>51.85</v>
      </c>
      <c r="B12" s="31">
        <v>0.645</v>
      </c>
      <c r="C12" s="5">
        <v>4.182</v>
      </c>
      <c r="D12" s="5">
        <v>3.42</v>
      </c>
      <c r="E12" s="32">
        <v>987.166831194472</v>
      </c>
      <c r="F12" s="33">
        <v>0.000528</v>
      </c>
      <c r="G12" s="33">
        <v>5.348639999999999E-07</v>
      </c>
      <c r="H12" s="34">
        <v>1.5623744619799136E-07</v>
      </c>
      <c r="I12" s="35">
        <v>0.13513237273365142</v>
      </c>
      <c r="J12" s="25"/>
    </row>
    <row r="13" spans="1:10" ht="14.25">
      <c r="A13" s="4">
        <v>56.85</v>
      </c>
      <c r="B13" s="31">
        <v>0.651</v>
      </c>
      <c r="C13" s="5">
        <v>4.184</v>
      </c>
      <c r="D13" s="5">
        <v>3.15</v>
      </c>
      <c r="E13" s="32">
        <v>984.2519685039371</v>
      </c>
      <c r="F13" s="33">
        <v>0.000489</v>
      </c>
      <c r="G13" s="33">
        <v>4.96824E-07</v>
      </c>
      <c r="H13" s="34">
        <v>1.5783938814531548E-07</v>
      </c>
      <c r="I13" s="35">
        <v>0.17190245197227494</v>
      </c>
      <c r="J13" s="25"/>
    </row>
    <row r="14" spans="1:10" ht="14.25">
      <c r="A14" s="4">
        <v>61.85</v>
      </c>
      <c r="B14" s="31">
        <v>0.656</v>
      </c>
      <c r="C14" s="5">
        <v>4.186</v>
      </c>
      <c r="D14" s="5">
        <v>2.88</v>
      </c>
      <c r="E14" s="32">
        <v>982.3182711198428</v>
      </c>
      <c r="F14" s="33">
        <v>0.000453</v>
      </c>
      <c r="G14" s="33">
        <v>4.61154E-07</v>
      </c>
      <c r="H14" s="34">
        <v>1.5953368370759673E-07</v>
      </c>
      <c r="I14" s="35">
        <v>0.21689341906538584</v>
      </c>
      <c r="J14" s="25"/>
    </row>
    <row r="15" spans="1:10" ht="14.25">
      <c r="A15" s="4">
        <v>66.85</v>
      </c>
      <c r="B15" s="31">
        <v>0.66</v>
      </c>
      <c r="C15" s="5">
        <v>4.188</v>
      </c>
      <c r="D15" s="5">
        <v>2.66</v>
      </c>
      <c r="E15" s="32">
        <v>979.4319294809011</v>
      </c>
      <c r="F15" s="33">
        <v>0.00042</v>
      </c>
      <c r="G15" s="33">
        <v>4.2882E-07</v>
      </c>
      <c r="H15" s="34">
        <v>1.6090257879656164E-07</v>
      </c>
      <c r="I15" s="35">
        <v>0.2715321945798864</v>
      </c>
      <c r="J15" s="25"/>
    </row>
    <row r="16" spans="1:10" ht="14.25">
      <c r="A16" s="36">
        <v>71.85</v>
      </c>
      <c r="B16" s="37">
        <v>0.664</v>
      </c>
      <c r="C16" s="5">
        <v>4.191</v>
      </c>
      <c r="D16" s="5">
        <v>2.45</v>
      </c>
      <c r="E16" s="32">
        <v>976.5625</v>
      </c>
      <c r="F16" s="33">
        <v>0.000389</v>
      </c>
      <c r="G16" s="33">
        <v>3.98336E-07</v>
      </c>
      <c r="H16" s="34">
        <v>1.632145072774994E-07</v>
      </c>
      <c r="I16" s="35">
        <v>0.33741633752673394</v>
      </c>
      <c r="J16" s="25"/>
    </row>
    <row r="17" spans="1:10" ht="14.25">
      <c r="A17" s="4">
        <v>76.85</v>
      </c>
      <c r="B17" s="31">
        <v>0.668</v>
      </c>
      <c r="C17" s="5">
        <v>4.195</v>
      </c>
      <c r="D17" s="5">
        <v>2.29</v>
      </c>
      <c r="E17" s="32">
        <v>973.7098344693283</v>
      </c>
      <c r="F17" s="33">
        <v>0.000365</v>
      </c>
      <c r="G17" s="33">
        <v>3.748549999999999E-07</v>
      </c>
      <c r="H17" s="34">
        <v>1.6353659117997615E-07</v>
      </c>
      <c r="I17" s="35">
        <v>0.41632331593192085</v>
      </c>
      <c r="J17" s="25"/>
    </row>
    <row r="18" spans="1:10" ht="14.25">
      <c r="A18" s="4">
        <v>81.85</v>
      </c>
      <c r="B18" s="31">
        <v>0.671</v>
      </c>
      <c r="C18" s="5">
        <v>4.199</v>
      </c>
      <c r="D18" s="5">
        <v>2.14</v>
      </c>
      <c r="E18" s="32">
        <v>970.8737864077669</v>
      </c>
      <c r="F18" s="33">
        <v>0.000343</v>
      </c>
      <c r="G18" s="33">
        <v>3.5329E-07</v>
      </c>
      <c r="H18" s="34">
        <v>1.6459395094070018E-07</v>
      </c>
      <c r="I18" s="35">
        <v>0.5102191251968057</v>
      </c>
      <c r="J18" s="25"/>
    </row>
    <row r="19" spans="1:10" ht="14.25">
      <c r="A19" s="4">
        <v>86.85</v>
      </c>
      <c r="B19" s="31">
        <v>0.674</v>
      </c>
      <c r="C19" s="5">
        <v>4.203</v>
      </c>
      <c r="D19" s="5">
        <v>2.02</v>
      </c>
      <c r="E19" s="32">
        <v>967.1179883945841</v>
      </c>
      <c r="F19" s="33">
        <v>0.000324</v>
      </c>
      <c r="G19" s="33">
        <v>3.3501600000000004E-07</v>
      </c>
      <c r="H19" s="34">
        <v>1.6581394242207946E-07</v>
      </c>
      <c r="I19" s="35">
        <v>0.6212661825396458</v>
      </c>
      <c r="J19" s="25"/>
    </row>
    <row r="20" spans="1:10" ht="14.25">
      <c r="A20" s="4">
        <v>91.85</v>
      </c>
      <c r="B20" s="31">
        <v>0.677</v>
      </c>
      <c r="C20" s="5">
        <v>4.209</v>
      </c>
      <c r="D20" s="5">
        <v>1.91</v>
      </c>
      <c r="E20" s="32">
        <v>963.3911368015414</v>
      </c>
      <c r="F20" s="33">
        <v>0.000306</v>
      </c>
      <c r="G20" s="33">
        <v>3.17628E-07</v>
      </c>
      <c r="H20" s="34">
        <v>1.669579472558803E-07</v>
      </c>
      <c r="I20" s="35">
        <v>0.7518304417299169</v>
      </c>
      <c r="J20" s="25"/>
    </row>
    <row r="21" spans="1:10" ht="14.25">
      <c r="A21" s="4">
        <v>96.85</v>
      </c>
      <c r="B21" s="31">
        <v>0.679</v>
      </c>
      <c r="C21" s="5">
        <v>4.214</v>
      </c>
      <c r="D21" s="5">
        <v>1.8</v>
      </c>
      <c r="E21" s="32">
        <v>960.6147934678196</v>
      </c>
      <c r="F21" s="33">
        <v>0.000289</v>
      </c>
      <c r="G21" s="33">
        <v>3.008489999999999E-07</v>
      </c>
      <c r="H21" s="34">
        <v>1.6773588039867107E-07</v>
      </c>
      <c r="I21" s="35">
        <v>0.9044876886863782</v>
      </c>
      <c r="J21" s="25"/>
    </row>
    <row r="22" spans="1:10" ht="15" thickBot="1">
      <c r="A22" s="7">
        <v>100</v>
      </c>
      <c r="B22" s="38">
        <v>0.68</v>
      </c>
      <c r="C22" s="8">
        <v>4.217</v>
      </c>
      <c r="D22" s="8">
        <v>1.76</v>
      </c>
      <c r="E22" s="39">
        <v>957.8544061302682</v>
      </c>
      <c r="F22" s="40">
        <v>0.000279</v>
      </c>
      <c r="G22" s="40">
        <v>2.91276E-07</v>
      </c>
      <c r="H22" s="41">
        <v>1.6834716623191845E-07</v>
      </c>
      <c r="I22" s="42">
        <v>1.013252619713624</v>
      </c>
      <c r="J22" s="25"/>
    </row>
    <row r="23" spans="1:10" ht="15" thickBot="1">
      <c r="A23" s="43"/>
      <c r="B23" s="43"/>
      <c r="C23" s="43"/>
      <c r="D23" s="43"/>
      <c r="E23" s="44"/>
      <c r="F23" s="43"/>
      <c r="G23" s="43"/>
      <c r="H23" s="43"/>
      <c r="I23" s="43"/>
      <c r="J23" s="43"/>
    </row>
    <row r="24" spans="1:10" ht="15">
      <c r="A24" s="10" t="s">
        <v>30</v>
      </c>
      <c r="B24" s="11" t="s">
        <v>31</v>
      </c>
      <c r="C24" s="11" t="s">
        <v>32</v>
      </c>
      <c r="D24" s="11" t="s">
        <v>33</v>
      </c>
      <c r="E24" s="12" t="s">
        <v>34</v>
      </c>
      <c r="F24" s="12" t="s">
        <v>35</v>
      </c>
      <c r="G24" s="12" t="s">
        <v>19</v>
      </c>
      <c r="H24" s="45" t="s">
        <v>47</v>
      </c>
      <c r="I24" s="46" t="s">
        <v>48</v>
      </c>
      <c r="J24" s="25"/>
    </row>
    <row r="25" spans="1:10" ht="15.75">
      <c r="A25" s="47" t="s">
        <v>36</v>
      </c>
      <c r="B25" s="48" t="s">
        <v>37</v>
      </c>
      <c r="C25" s="48" t="s">
        <v>38</v>
      </c>
      <c r="D25" s="48" t="s">
        <v>39</v>
      </c>
      <c r="E25" s="48" t="s">
        <v>40</v>
      </c>
      <c r="F25" s="48" t="s">
        <v>41</v>
      </c>
      <c r="G25" s="48" t="s">
        <v>49</v>
      </c>
      <c r="H25" s="49" t="s">
        <v>49</v>
      </c>
      <c r="I25" s="50" t="s">
        <v>50</v>
      </c>
      <c r="J25" s="25"/>
    </row>
    <row r="26" spans="1:10" ht="14.25">
      <c r="A26" s="51"/>
      <c r="B26" s="18"/>
      <c r="C26" s="18"/>
      <c r="D26" s="18"/>
      <c r="E26" s="18"/>
      <c r="F26" s="18"/>
      <c r="G26" s="18"/>
      <c r="H26" s="18"/>
      <c r="I26" s="52"/>
      <c r="J26" s="25"/>
    </row>
    <row r="27" spans="1:10" ht="15" thickBot="1">
      <c r="A27" s="22" t="s">
        <v>51</v>
      </c>
      <c r="B27" s="53"/>
      <c r="C27" s="53"/>
      <c r="D27" s="53"/>
      <c r="E27" s="53"/>
      <c r="F27" s="53"/>
      <c r="G27" s="53"/>
      <c r="H27" s="53"/>
      <c r="I27" s="54"/>
      <c r="J27" s="25"/>
    </row>
    <row r="28" spans="1:10" ht="14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4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4.25">
      <c r="A30" t="s">
        <v>52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4.25">
      <c r="A31" s="55" t="s">
        <v>53</v>
      </c>
      <c r="B31" s="25"/>
      <c r="C31" s="25" t="s">
        <v>46</v>
      </c>
      <c r="D31" s="25"/>
      <c r="E31" s="25"/>
      <c r="F31" s="56"/>
      <c r="G31" s="25"/>
      <c r="H31" s="25"/>
      <c r="I31" s="25"/>
      <c r="J31" s="25"/>
    </row>
    <row r="32" spans="1:10" ht="14.25">
      <c r="A32" s="57"/>
      <c r="B32" s="25"/>
      <c r="C32" s="25"/>
      <c r="D32" s="25"/>
      <c r="E32" s="25"/>
      <c r="F32" s="56"/>
      <c r="G32" s="25"/>
      <c r="H32" s="25"/>
      <c r="I32" s="25"/>
      <c r="J32" s="25"/>
    </row>
    <row r="33" spans="1:10" ht="14.25">
      <c r="A33" s="18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4.25">
      <c r="A34" s="58"/>
      <c r="B34" s="25"/>
      <c r="C34" s="25"/>
      <c r="D34" s="25"/>
      <c r="E34" s="25"/>
      <c r="F34" s="25"/>
      <c r="G34" s="25"/>
      <c r="H34" s="25"/>
      <c r="I34" s="25"/>
      <c r="J34" s="2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Y221"/>
  <sheetViews>
    <sheetView zoomScalePageLayoutView="0" workbookViewId="0" topLeftCell="A1">
      <selection activeCell="T27" sqref="T27"/>
    </sheetView>
  </sheetViews>
  <sheetFormatPr defaultColWidth="11.421875" defaultRowHeight="15"/>
  <cols>
    <col min="1" max="1" width="3.57421875" style="0" customWidth="1"/>
    <col min="2" max="2" width="8.00390625" style="0" customWidth="1"/>
    <col min="3" max="17" width="6.57421875" style="0" customWidth="1"/>
    <col min="18" max="18" width="6.8515625" style="0" customWidth="1"/>
    <col min="19" max="24" width="9.8515625" style="0" customWidth="1"/>
    <col min="25" max="26" width="6.8515625" style="0" customWidth="1"/>
  </cols>
  <sheetData>
    <row r="1" spans="1:21" ht="14.25">
      <c r="A1" s="59">
        <v>1</v>
      </c>
      <c r="B1" s="59">
        <v>2</v>
      </c>
      <c r="C1" s="59">
        <v>3</v>
      </c>
      <c r="D1" s="59">
        <v>4</v>
      </c>
      <c r="E1" s="59">
        <v>5</v>
      </c>
      <c r="F1" s="59">
        <v>6</v>
      </c>
      <c r="G1" s="59">
        <v>7</v>
      </c>
      <c r="H1" s="59">
        <v>8</v>
      </c>
      <c r="I1" s="59">
        <v>9</v>
      </c>
      <c r="J1" s="59">
        <v>10</v>
      </c>
      <c r="K1" s="59">
        <v>11</v>
      </c>
      <c r="L1" s="59">
        <v>12</v>
      </c>
      <c r="M1" s="59">
        <v>13</v>
      </c>
      <c r="N1" s="59">
        <v>14</v>
      </c>
      <c r="O1" s="59">
        <v>15</v>
      </c>
      <c r="P1" s="59">
        <v>16</v>
      </c>
      <c r="Q1" s="59">
        <v>17</v>
      </c>
      <c r="R1" s="59" t="s">
        <v>54</v>
      </c>
      <c r="S1" s="59" t="s">
        <v>54</v>
      </c>
      <c r="T1" s="59" t="s">
        <v>54</v>
      </c>
      <c r="U1" s="60"/>
    </row>
    <row r="2" spans="1:21" ht="14.25">
      <c r="A2" s="59">
        <v>2</v>
      </c>
      <c r="B2" s="60"/>
      <c r="C2" s="60"/>
      <c r="D2" s="60"/>
      <c r="E2" s="60"/>
      <c r="F2" s="60"/>
      <c r="G2" s="60"/>
      <c r="H2" s="61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20.25">
      <c r="A3" s="59">
        <v>3</v>
      </c>
      <c r="B3" s="62" t="s">
        <v>55</v>
      </c>
      <c r="C3" s="60"/>
      <c r="D3" s="60"/>
      <c r="E3" s="60"/>
      <c r="F3" s="60"/>
      <c r="G3" s="60"/>
      <c r="H3" s="61"/>
      <c r="I3" s="63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4" ht="15" thickBot="1">
      <c r="A4" s="59">
        <v>4</v>
      </c>
      <c r="B4" s="64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20"/>
      <c r="W4" s="20"/>
      <c r="X4" s="20"/>
    </row>
    <row r="5" spans="1:24" ht="15" thickTop="1">
      <c r="A5" s="59">
        <v>5</v>
      </c>
      <c r="B5" s="65"/>
      <c r="C5" s="66"/>
      <c r="D5" s="66"/>
      <c r="E5" s="67"/>
      <c r="F5" s="68"/>
      <c r="G5" s="67"/>
      <c r="H5" s="68" t="s">
        <v>56</v>
      </c>
      <c r="I5" s="67"/>
      <c r="J5" s="67"/>
      <c r="K5" s="67"/>
      <c r="L5" s="67"/>
      <c r="M5" s="67"/>
      <c r="N5" s="67"/>
      <c r="O5" s="67"/>
      <c r="P5" s="67"/>
      <c r="Q5" s="69"/>
      <c r="S5" s="70" t="s">
        <v>57</v>
      </c>
      <c r="T5" s="71"/>
      <c r="U5" s="72"/>
      <c r="V5" s="71" t="s">
        <v>58</v>
      </c>
      <c r="W5" s="73">
        <v>24</v>
      </c>
      <c r="X5" s="74" t="s">
        <v>59</v>
      </c>
    </row>
    <row r="6" spans="1:24" ht="15" thickBot="1">
      <c r="A6" s="59">
        <v>6</v>
      </c>
      <c r="B6" s="75" t="s">
        <v>60</v>
      </c>
      <c r="C6" s="76" t="s">
        <v>61</v>
      </c>
      <c r="D6" s="77">
        <v>5</v>
      </c>
      <c r="E6" s="77">
        <v>10</v>
      </c>
      <c r="F6" s="78">
        <v>20</v>
      </c>
      <c r="G6" s="78">
        <v>30</v>
      </c>
      <c r="H6" s="78">
        <v>40</v>
      </c>
      <c r="I6" s="78">
        <v>60</v>
      </c>
      <c r="J6" s="78">
        <v>80</v>
      </c>
      <c r="K6" s="78">
        <v>100</v>
      </c>
      <c r="L6" s="78">
        <v>120</v>
      </c>
      <c r="M6" s="78">
        <v>140</v>
      </c>
      <c r="N6" s="78">
        <v>160</v>
      </c>
      <c r="O6" s="78" t="s">
        <v>62</v>
      </c>
      <c r="P6" s="78" t="s">
        <v>63</v>
      </c>
      <c r="Q6" s="79" t="s">
        <v>64</v>
      </c>
      <c r="S6" s="80" t="s">
        <v>65</v>
      </c>
      <c r="T6" s="81"/>
      <c r="U6" s="82"/>
      <c r="V6" s="83" t="s">
        <v>66</v>
      </c>
      <c r="W6" s="84" t="s">
        <v>63</v>
      </c>
      <c r="X6" s="85"/>
    </row>
    <row r="7" spans="1:24" ht="15.75" thickTop="1">
      <c r="A7" s="59">
        <v>7</v>
      </c>
      <c r="B7" s="86">
        <v>0.5</v>
      </c>
      <c r="C7" s="87">
        <v>21.3</v>
      </c>
      <c r="D7" s="88">
        <v>1.65</v>
      </c>
      <c r="E7" s="89">
        <v>2.11</v>
      </c>
      <c r="F7" s="67" t="s">
        <v>39</v>
      </c>
      <c r="G7" s="90">
        <v>2.41</v>
      </c>
      <c r="H7" s="90">
        <v>2.77</v>
      </c>
      <c r="I7" s="67" t="s">
        <v>39</v>
      </c>
      <c r="J7" s="90">
        <v>3.73</v>
      </c>
      <c r="K7" s="67" t="s">
        <v>39</v>
      </c>
      <c r="L7" s="91">
        <v>0</v>
      </c>
      <c r="M7" s="67" t="s">
        <v>39</v>
      </c>
      <c r="N7" s="90">
        <v>4.78</v>
      </c>
      <c r="O7" s="90">
        <v>2.77</v>
      </c>
      <c r="P7" s="90">
        <v>3.73</v>
      </c>
      <c r="Q7" s="92">
        <v>7.47</v>
      </c>
      <c r="S7" s="93" t="s">
        <v>67</v>
      </c>
      <c r="T7" s="94" t="s">
        <v>68</v>
      </c>
      <c r="U7" s="20"/>
      <c r="V7" s="20"/>
      <c r="W7" s="95" t="e">
        <v>#NAME?</v>
      </c>
      <c r="X7" s="96" t="s">
        <v>59</v>
      </c>
    </row>
    <row r="8" spans="1:24" ht="15">
      <c r="A8" s="59">
        <v>8</v>
      </c>
      <c r="B8" s="97">
        <v>0.75</v>
      </c>
      <c r="C8" s="98">
        <v>26.7</v>
      </c>
      <c r="D8" s="99">
        <v>1.65</v>
      </c>
      <c r="E8" s="100">
        <v>2.11</v>
      </c>
      <c r="F8" s="101" t="s">
        <v>39</v>
      </c>
      <c r="G8" s="102">
        <v>2.41</v>
      </c>
      <c r="H8" s="102">
        <v>2.87</v>
      </c>
      <c r="I8" s="101" t="s">
        <v>39</v>
      </c>
      <c r="J8" s="102">
        <v>3.91</v>
      </c>
      <c r="K8" s="101" t="s">
        <v>39</v>
      </c>
      <c r="L8" s="101">
        <v>0</v>
      </c>
      <c r="M8" s="101" t="s">
        <v>39</v>
      </c>
      <c r="N8" s="102">
        <v>5.56</v>
      </c>
      <c r="O8" s="102">
        <v>2.87</v>
      </c>
      <c r="P8" s="102">
        <v>3.91</v>
      </c>
      <c r="Q8" s="103">
        <v>7.82</v>
      </c>
      <c r="S8" s="93" t="s">
        <v>69</v>
      </c>
      <c r="T8" s="94" t="s">
        <v>70</v>
      </c>
      <c r="U8" s="20"/>
      <c r="V8" s="20"/>
      <c r="W8" s="95" t="e">
        <v>#NAME?</v>
      </c>
      <c r="X8" s="96" t="s">
        <v>59</v>
      </c>
    </row>
    <row r="9" spans="1:24" ht="15" thickBot="1">
      <c r="A9" s="59">
        <v>9</v>
      </c>
      <c r="B9" s="104">
        <v>1</v>
      </c>
      <c r="C9" s="98">
        <v>33.4</v>
      </c>
      <c r="D9" s="99">
        <v>1.65</v>
      </c>
      <c r="E9" s="100">
        <v>2.77</v>
      </c>
      <c r="F9" s="101" t="s">
        <v>39</v>
      </c>
      <c r="G9" s="102">
        <v>2.9</v>
      </c>
      <c r="H9" s="102">
        <v>3.38</v>
      </c>
      <c r="I9" s="101" t="s">
        <v>39</v>
      </c>
      <c r="J9" s="102">
        <v>4.55</v>
      </c>
      <c r="K9" s="101" t="s">
        <v>39</v>
      </c>
      <c r="L9" s="101">
        <v>0</v>
      </c>
      <c r="M9" s="101" t="s">
        <v>39</v>
      </c>
      <c r="N9" s="102">
        <v>6.35</v>
      </c>
      <c r="O9" s="102">
        <v>3.38</v>
      </c>
      <c r="P9" s="102">
        <v>4.55</v>
      </c>
      <c r="Q9" s="103">
        <v>9.09</v>
      </c>
      <c r="S9" s="105" t="s">
        <v>71</v>
      </c>
      <c r="T9" s="106" t="s">
        <v>72</v>
      </c>
      <c r="U9" s="107"/>
      <c r="V9" s="107"/>
      <c r="W9" s="108" t="e">
        <v>#NAME?</v>
      </c>
      <c r="X9" s="109" t="s">
        <v>59</v>
      </c>
    </row>
    <row r="10" spans="1:19" ht="15" thickBot="1" thickTop="1">
      <c r="A10" s="59">
        <v>10</v>
      </c>
      <c r="B10" s="97">
        <v>1.5</v>
      </c>
      <c r="C10" s="98">
        <v>48.3</v>
      </c>
      <c r="D10" s="99">
        <v>1.65</v>
      </c>
      <c r="E10" s="100">
        <v>2.77</v>
      </c>
      <c r="F10" s="101" t="s">
        <v>39</v>
      </c>
      <c r="G10" s="102">
        <v>3.18</v>
      </c>
      <c r="H10" s="102">
        <v>3.68</v>
      </c>
      <c r="I10" s="101" t="s">
        <v>39</v>
      </c>
      <c r="J10" s="102">
        <v>5.08</v>
      </c>
      <c r="K10" s="101" t="s">
        <v>39</v>
      </c>
      <c r="L10" s="101">
        <v>0</v>
      </c>
      <c r="M10" s="101" t="s">
        <v>39</v>
      </c>
      <c r="N10" s="102">
        <v>7.14</v>
      </c>
      <c r="O10" s="102">
        <v>3.68</v>
      </c>
      <c r="P10" s="102">
        <v>5.08</v>
      </c>
      <c r="Q10" s="103">
        <v>10.15</v>
      </c>
      <c r="S10" s="55"/>
    </row>
    <row r="11" spans="1:24" ht="15" thickTop="1">
      <c r="A11" s="59">
        <v>11</v>
      </c>
      <c r="B11" s="104">
        <v>2</v>
      </c>
      <c r="C11" s="98">
        <v>60.3</v>
      </c>
      <c r="D11" s="99">
        <v>1.65</v>
      </c>
      <c r="E11" s="100">
        <v>2.77</v>
      </c>
      <c r="F11" s="101" t="s">
        <v>39</v>
      </c>
      <c r="G11" s="102">
        <v>3.18</v>
      </c>
      <c r="H11" s="102">
        <v>3.91</v>
      </c>
      <c r="I11" s="101" t="s">
        <v>39</v>
      </c>
      <c r="J11" s="102">
        <v>5.54</v>
      </c>
      <c r="K11" s="101" t="s">
        <v>39</v>
      </c>
      <c r="L11" s="101">
        <v>0</v>
      </c>
      <c r="M11" s="101" t="s">
        <v>39</v>
      </c>
      <c r="N11" s="102">
        <v>8.74</v>
      </c>
      <c r="O11" s="102">
        <v>3.91</v>
      </c>
      <c r="P11" s="102">
        <v>5.54</v>
      </c>
      <c r="Q11" s="103">
        <v>11.07</v>
      </c>
      <c r="S11" s="70" t="s">
        <v>57</v>
      </c>
      <c r="T11" s="71"/>
      <c r="U11" s="72"/>
      <c r="V11" s="71" t="s">
        <v>58</v>
      </c>
      <c r="W11" s="73">
        <v>16</v>
      </c>
      <c r="X11" s="74" t="s">
        <v>59</v>
      </c>
    </row>
    <row r="12" spans="1:24" ht="14.25">
      <c r="A12" s="59">
        <v>12</v>
      </c>
      <c r="B12" s="104">
        <v>3</v>
      </c>
      <c r="C12" s="98">
        <v>88.9</v>
      </c>
      <c r="D12" s="99">
        <v>2.11</v>
      </c>
      <c r="E12" s="100">
        <v>3.05</v>
      </c>
      <c r="F12" s="101" t="s">
        <v>39</v>
      </c>
      <c r="G12" s="102">
        <v>4.78</v>
      </c>
      <c r="H12" s="102">
        <v>5.49</v>
      </c>
      <c r="I12" s="101" t="s">
        <v>39</v>
      </c>
      <c r="J12" s="102">
        <v>7.62</v>
      </c>
      <c r="K12" s="101" t="s">
        <v>39</v>
      </c>
      <c r="L12" s="101">
        <v>0</v>
      </c>
      <c r="M12" s="101" t="s">
        <v>39</v>
      </c>
      <c r="N12" s="102">
        <v>11.13</v>
      </c>
      <c r="O12" s="102">
        <v>5.49</v>
      </c>
      <c r="P12" s="102">
        <v>7.62</v>
      </c>
      <c r="Q12" s="103">
        <v>15.24</v>
      </c>
      <c r="S12" s="80" t="s">
        <v>73</v>
      </c>
      <c r="T12" s="81"/>
      <c r="U12" s="82"/>
      <c r="V12" s="83" t="s">
        <v>66</v>
      </c>
      <c r="W12" s="84">
        <v>81</v>
      </c>
      <c r="X12" s="85"/>
    </row>
    <row r="13" spans="1:24" ht="15">
      <c r="A13" s="59">
        <v>13</v>
      </c>
      <c r="B13" s="104">
        <v>4</v>
      </c>
      <c r="C13" s="98">
        <v>114.3</v>
      </c>
      <c r="D13" s="99">
        <v>2.11</v>
      </c>
      <c r="E13" s="100">
        <v>3.05</v>
      </c>
      <c r="F13" s="101" t="s">
        <v>39</v>
      </c>
      <c r="G13" s="102">
        <v>4.78</v>
      </c>
      <c r="H13" s="102">
        <v>6.02</v>
      </c>
      <c r="I13" s="101" t="s">
        <v>39</v>
      </c>
      <c r="J13" s="102">
        <v>8.56</v>
      </c>
      <c r="K13" s="101" t="s">
        <v>39</v>
      </c>
      <c r="L13" s="102">
        <v>11.13</v>
      </c>
      <c r="M13" s="101" t="s">
        <v>39</v>
      </c>
      <c r="N13" s="102">
        <v>13.49</v>
      </c>
      <c r="O13" s="102">
        <v>6.02</v>
      </c>
      <c r="P13" s="102">
        <v>8.56</v>
      </c>
      <c r="Q13" s="103">
        <v>17.12</v>
      </c>
      <c r="S13" s="93" t="s">
        <v>67</v>
      </c>
      <c r="T13" s="94" t="s">
        <v>68</v>
      </c>
      <c r="U13" s="20"/>
      <c r="V13" s="20"/>
      <c r="W13" s="95" t="e">
        <v>#NAME?</v>
      </c>
      <c r="X13" s="96" t="s">
        <v>59</v>
      </c>
    </row>
    <row r="14" spans="1:24" ht="15">
      <c r="A14" s="59">
        <v>14</v>
      </c>
      <c r="B14" s="104">
        <v>5</v>
      </c>
      <c r="C14" s="98">
        <v>141.3</v>
      </c>
      <c r="D14" s="99">
        <v>2.77</v>
      </c>
      <c r="E14" s="100">
        <v>3.4</v>
      </c>
      <c r="F14" s="110" t="s">
        <v>39</v>
      </c>
      <c r="G14" s="110" t="s">
        <v>39</v>
      </c>
      <c r="H14" s="102">
        <v>6.55</v>
      </c>
      <c r="I14" s="110" t="s">
        <v>39</v>
      </c>
      <c r="J14" s="102">
        <v>9.53</v>
      </c>
      <c r="K14" s="110" t="s">
        <v>39</v>
      </c>
      <c r="L14" s="102">
        <v>12.7</v>
      </c>
      <c r="M14" s="110" t="s">
        <v>39</v>
      </c>
      <c r="N14" s="102">
        <v>15.88</v>
      </c>
      <c r="O14" s="102">
        <v>6.55</v>
      </c>
      <c r="P14" s="102">
        <v>9.53</v>
      </c>
      <c r="Q14" s="103">
        <v>19.05</v>
      </c>
      <c r="S14" s="93" t="s">
        <v>69</v>
      </c>
      <c r="T14" s="94" t="s">
        <v>70</v>
      </c>
      <c r="U14" s="20"/>
      <c r="V14" s="20"/>
      <c r="W14" s="95" t="e">
        <v>#NAME?</v>
      </c>
      <c r="X14" s="96" t="s">
        <v>59</v>
      </c>
    </row>
    <row r="15" spans="1:24" ht="15" thickBot="1">
      <c r="A15" s="59">
        <v>15</v>
      </c>
      <c r="B15" s="104">
        <v>6</v>
      </c>
      <c r="C15" s="98">
        <v>168.3</v>
      </c>
      <c r="D15" s="99">
        <v>2.77</v>
      </c>
      <c r="E15" s="100">
        <v>3.4</v>
      </c>
      <c r="F15" s="101" t="s">
        <v>39</v>
      </c>
      <c r="G15" s="101" t="s">
        <v>39</v>
      </c>
      <c r="H15" s="102">
        <v>7.11</v>
      </c>
      <c r="I15" s="101" t="s">
        <v>39</v>
      </c>
      <c r="J15" s="102">
        <v>10.97</v>
      </c>
      <c r="K15" s="101" t="s">
        <v>39</v>
      </c>
      <c r="L15" s="102">
        <v>14.27</v>
      </c>
      <c r="M15" s="101" t="s">
        <v>39</v>
      </c>
      <c r="N15" s="102">
        <v>18.26</v>
      </c>
      <c r="O15" s="102">
        <v>7.11</v>
      </c>
      <c r="P15" s="102">
        <v>10.97</v>
      </c>
      <c r="Q15" s="103">
        <v>21.95</v>
      </c>
      <c r="S15" s="105" t="s">
        <v>71</v>
      </c>
      <c r="T15" s="106" t="s">
        <v>72</v>
      </c>
      <c r="U15" s="107"/>
      <c r="V15" s="107"/>
      <c r="W15" s="108" t="e">
        <v>#NAME?</v>
      </c>
      <c r="X15" s="109" t="s">
        <v>59</v>
      </c>
    </row>
    <row r="16" spans="1:19" ht="15" thickTop="1">
      <c r="A16" s="59">
        <v>16</v>
      </c>
      <c r="B16" s="104">
        <v>8</v>
      </c>
      <c r="C16" s="98">
        <v>219.1</v>
      </c>
      <c r="D16" s="99">
        <v>2.77</v>
      </c>
      <c r="E16" s="100">
        <v>3.76</v>
      </c>
      <c r="F16" s="102">
        <v>6.35</v>
      </c>
      <c r="G16" s="102">
        <v>7.04</v>
      </c>
      <c r="H16" s="102">
        <v>8.18</v>
      </c>
      <c r="I16" s="102">
        <v>10.31</v>
      </c>
      <c r="J16" s="102">
        <v>12.7</v>
      </c>
      <c r="K16" s="102">
        <v>15.09</v>
      </c>
      <c r="L16" s="102">
        <v>18.26</v>
      </c>
      <c r="M16" s="102">
        <v>20.62</v>
      </c>
      <c r="N16" s="102">
        <v>23.01</v>
      </c>
      <c r="O16" s="102">
        <v>8.18</v>
      </c>
      <c r="P16" s="102">
        <v>12.7</v>
      </c>
      <c r="Q16" s="103">
        <v>22.23</v>
      </c>
      <c r="S16" t="s">
        <v>74</v>
      </c>
    </row>
    <row r="17" spans="1:17" ht="14.25">
      <c r="A17" s="59">
        <v>17</v>
      </c>
      <c r="B17" s="104">
        <v>10</v>
      </c>
      <c r="C17" s="98">
        <v>273</v>
      </c>
      <c r="D17" s="99">
        <v>3.4</v>
      </c>
      <c r="E17" s="100">
        <v>4.19</v>
      </c>
      <c r="F17" s="102">
        <v>6.35</v>
      </c>
      <c r="G17" s="102">
        <v>7.8</v>
      </c>
      <c r="H17" s="102">
        <v>9.27</v>
      </c>
      <c r="I17" s="102">
        <v>12.7</v>
      </c>
      <c r="J17" s="102">
        <v>15.09</v>
      </c>
      <c r="K17" s="102">
        <v>18.26</v>
      </c>
      <c r="L17" s="102">
        <v>21.44</v>
      </c>
      <c r="M17" s="102">
        <v>25.4</v>
      </c>
      <c r="N17" s="102">
        <v>28.58</v>
      </c>
      <c r="O17" s="102">
        <v>9.27</v>
      </c>
      <c r="P17" s="102">
        <v>12.7</v>
      </c>
      <c r="Q17" s="103">
        <v>25.4</v>
      </c>
    </row>
    <row r="18" spans="1:19" ht="14.25">
      <c r="A18" s="59">
        <v>18</v>
      </c>
      <c r="B18" s="104">
        <v>12</v>
      </c>
      <c r="C18" s="98">
        <v>323.8</v>
      </c>
      <c r="D18" s="99">
        <v>3.96</v>
      </c>
      <c r="E18" s="100">
        <v>4.57</v>
      </c>
      <c r="F18" s="102">
        <v>6.35</v>
      </c>
      <c r="G18" s="102">
        <v>8.38</v>
      </c>
      <c r="H18" s="102">
        <v>10.31</v>
      </c>
      <c r="I18" s="102">
        <v>14.27</v>
      </c>
      <c r="J18" s="102">
        <v>17.48</v>
      </c>
      <c r="K18" s="102">
        <v>21.44</v>
      </c>
      <c r="L18" s="102">
        <v>25.4</v>
      </c>
      <c r="M18" s="102">
        <v>28.58</v>
      </c>
      <c r="N18" s="102">
        <v>33.32</v>
      </c>
      <c r="O18" s="102">
        <v>9.53</v>
      </c>
      <c r="P18" s="102">
        <v>12.7</v>
      </c>
      <c r="Q18" s="103">
        <v>25.4</v>
      </c>
      <c r="S18" s="55"/>
    </row>
    <row r="19" spans="1:17" ht="14.25">
      <c r="A19" s="59">
        <v>19</v>
      </c>
      <c r="B19" s="104">
        <v>14</v>
      </c>
      <c r="C19" s="98">
        <v>355.6</v>
      </c>
      <c r="D19" s="99">
        <v>3.96</v>
      </c>
      <c r="E19" s="100">
        <v>6.35</v>
      </c>
      <c r="F19" s="102">
        <v>7.92</v>
      </c>
      <c r="G19" s="102">
        <v>9.53</v>
      </c>
      <c r="H19" s="102">
        <v>11.13</v>
      </c>
      <c r="I19" s="102">
        <v>15.09</v>
      </c>
      <c r="J19" s="102">
        <v>19.05</v>
      </c>
      <c r="K19" s="102">
        <v>23.83</v>
      </c>
      <c r="L19" s="102">
        <v>27.79</v>
      </c>
      <c r="M19" s="102">
        <v>31.75</v>
      </c>
      <c r="N19" s="102">
        <v>35.71</v>
      </c>
      <c r="O19" s="102">
        <v>9.53</v>
      </c>
      <c r="P19" s="102">
        <v>12.7</v>
      </c>
      <c r="Q19" s="111" t="s">
        <v>39</v>
      </c>
    </row>
    <row r="20" spans="1:17" ht="14.25">
      <c r="A20" s="59">
        <v>20</v>
      </c>
      <c r="B20" s="104">
        <v>16</v>
      </c>
      <c r="C20" s="98">
        <v>406.4</v>
      </c>
      <c r="D20" s="99">
        <v>4.19</v>
      </c>
      <c r="E20" s="100">
        <v>6.35</v>
      </c>
      <c r="F20" s="102">
        <v>7.92</v>
      </c>
      <c r="G20" s="102">
        <v>9.53</v>
      </c>
      <c r="H20" s="102">
        <v>12.7</v>
      </c>
      <c r="I20" s="102">
        <v>16.66</v>
      </c>
      <c r="J20" s="102">
        <v>21.44</v>
      </c>
      <c r="K20" s="102">
        <v>26.19</v>
      </c>
      <c r="L20" s="102">
        <v>30.96</v>
      </c>
      <c r="M20" s="102">
        <v>36.53</v>
      </c>
      <c r="N20" s="102">
        <v>40.49</v>
      </c>
      <c r="O20" s="102">
        <v>9.53</v>
      </c>
      <c r="P20" s="102">
        <v>12.7</v>
      </c>
      <c r="Q20" s="111" t="s">
        <v>39</v>
      </c>
    </row>
    <row r="21" spans="1:17" ht="14.25">
      <c r="A21" s="59">
        <v>21</v>
      </c>
      <c r="B21" s="104">
        <v>18</v>
      </c>
      <c r="C21" s="98">
        <v>457</v>
      </c>
      <c r="D21" s="99">
        <v>4.19</v>
      </c>
      <c r="E21" s="100">
        <v>6.35</v>
      </c>
      <c r="F21" s="102">
        <v>7.92</v>
      </c>
      <c r="G21" s="102">
        <v>11.13</v>
      </c>
      <c r="H21" s="102">
        <v>14.27</v>
      </c>
      <c r="I21" s="102">
        <v>19.05</v>
      </c>
      <c r="J21" s="102">
        <v>23.83</v>
      </c>
      <c r="K21" s="102">
        <v>29.36</v>
      </c>
      <c r="L21" s="102">
        <v>34.93</v>
      </c>
      <c r="M21" s="102">
        <v>39.67</v>
      </c>
      <c r="N21" s="102">
        <v>45.24</v>
      </c>
      <c r="O21" s="102">
        <v>9.53</v>
      </c>
      <c r="P21" s="102">
        <v>12.7</v>
      </c>
      <c r="Q21" s="111" t="s">
        <v>39</v>
      </c>
    </row>
    <row r="22" spans="1:17" ht="14.25">
      <c r="A22" s="59">
        <v>22</v>
      </c>
      <c r="B22" s="104">
        <v>20</v>
      </c>
      <c r="C22" s="98">
        <v>508</v>
      </c>
      <c r="D22" s="99">
        <v>4.78</v>
      </c>
      <c r="E22" s="100">
        <v>6.35</v>
      </c>
      <c r="F22" s="102">
        <v>9.53</v>
      </c>
      <c r="G22" s="102">
        <v>12.7</v>
      </c>
      <c r="H22" s="102">
        <v>15.09</v>
      </c>
      <c r="I22" s="102">
        <v>20.62</v>
      </c>
      <c r="J22" s="102">
        <v>26.19</v>
      </c>
      <c r="K22" s="102">
        <v>32.54</v>
      </c>
      <c r="L22" s="102">
        <v>38.1</v>
      </c>
      <c r="M22" s="102">
        <v>44.45</v>
      </c>
      <c r="N22" s="102">
        <v>50.01</v>
      </c>
      <c r="O22" s="102">
        <v>9.53</v>
      </c>
      <c r="P22" s="102">
        <v>12.7</v>
      </c>
      <c r="Q22" s="111" t="s">
        <v>39</v>
      </c>
    </row>
    <row r="23" spans="1:17" ht="14.25">
      <c r="A23" s="59">
        <v>23</v>
      </c>
      <c r="B23" s="104">
        <v>22</v>
      </c>
      <c r="C23" s="98">
        <v>559</v>
      </c>
      <c r="D23" s="112">
        <v>4.78</v>
      </c>
      <c r="E23" s="100">
        <v>6.35</v>
      </c>
      <c r="F23" s="102">
        <v>9.53</v>
      </c>
      <c r="G23" s="102">
        <v>12.7</v>
      </c>
      <c r="H23" s="101" t="s">
        <v>39</v>
      </c>
      <c r="I23" s="102">
        <v>22.23</v>
      </c>
      <c r="J23" s="102">
        <v>28.58</v>
      </c>
      <c r="K23" s="102">
        <v>34.93</v>
      </c>
      <c r="L23" s="102">
        <v>41.28</v>
      </c>
      <c r="M23" s="102">
        <v>47.63</v>
      </c>
      <c r="N23" s="102">
        <v>53.98</v>
      </c>
      <c r="O23" s="102">
        <v>9.53</v>
      </c>
      <c r="P23" s="102">
        <v>12.7</v>
      </c>
      <c r="Q23" s="111" t="s">
        <v>39</v>
      </c>
    </row>
    <row r="24" spans="1:17" ht="14.25">
      <c r="A24" s="59">
        <v>24</v>
      </c>
      <c r="B24" s="104">
        <v>24</v>
      </c>
      <c r="C24" s="98">
        <v>610</v>
      </c>
      <c r="D24" s="99">
        <v>5.54</v>
      </c>
      <c r="E24" s="100">
        <v>6.35</v>
      </c>
      <c r="F24" s="102">
        <v>9.53</v>
      </c>
      <c r="G24" s="102">
        <v>14.27</v>
      </c>
      <c r="H24" s="102">
        <v>17.48</v>
      </c>
      <c r="I24" s="102">
        <v>24.61</v>
      </c>
      <c r="J24" s="102">
        <v>30.96</v>
      </c>
      <c r="K24" s="102">
        <v>38.89</v>
      </c>
      <c r="L24" s="102">
        <v>46.02</v>
      </c>
      <c r="M24" s="102">
        <v>52.37</v>
      </c>
      <c r="N24" s="102">
        <v>59.54</v>
      </c>
      <c r="O24" s="102">
        <v>9.53</v>
      </c>
      <c r="P24" s="102">
        <v>12.7</v>
      </c>
      <c r="Q24" s="111" t="s">
        <v>39</v>
      </c>
    </row>
    <row r="25" spans="1:17" ht="14.25">
      <c r="A25" s="59">
        <v>25</v>
      </c>
      <c r="B25" s="104">
        <v>26</v>
      </c>
      <c r="C25" s="98">
        <v>660</v>
      </c>
      <c r="D25" s="113" t="s">
        <v>39</v>
      </c>
      <c r="E25" s="100">
        <v>7.92</v>
      </c>
      <c r="F25" s="102">
        <v>12.7</v>
      </c>
      <c r="G25" s="114">
        <v>15.88</v>
      </c>
      <c r="H25" s="101" t="s">
        <v>39</v>
      </c>
      <c r="I25" s="101" t="s">
        <v>39</v>
      </c>
      <c r="J25" s="101" t="s">
        <v>39</v>
      </c>
      <c r="K25" s="101" t="s">
        <v>39</v>
      </c>
      <c r="L25" s="101" t="s">
        <v>39</v>
      </c>
      <c r="M25" s="101" t="s">
        <v>39</v>
      </c>
      <c r="N25" s="101" t="s">
        <v>39</v>
      </c>
      <c r="O25" s="102">
        <v>9.53</v>
      </c>
      <c r="P25" s="102">
        <v>12.7</v>
      </c>
      <c r="Q25" s="111" t="s">
        <v>39</v>
      </c>
    </row>
    <row r="26" spans="1:25" s="25" customFormat="1" ht="14.25">
      <c r="A26" s="59">
        <v>26</v>
      </c>
      <c r="B26" s="104">
        <v>28</v>
      </c>
      <c r="C26" s="98">
        <v>711</v>
      </c>
      <c r="D26" s="113" t="s">
        <v>39</v>
      </c>
      <c r="E26" s="100">
        <v>7.92</v>
      </c>
      <c r="F26" s="102">
        <v>12.7</v>
      </c>
      <c r="G26" s="101" t="s">
        <v>39</v>
      </c>
      <c r="H26" s="101" t="s">
        <v>39</v>
      </c>
      <c r="I26" s="101" t="s">
        <v>39</v>
      </c>
      <c r="J26" s="101" t="s">
        <v>39</v>
      </c>
      <c r="K26" s="101" t="s">
        <v>39</v>
      </c>
      <c r="L26" s="101" t="s">
        <v>39</v>
      </c>
      <c r="M26" s="101" t="s">
        <v>39</v>
      </c>
      <c r="N26" s="101" t="s">
        <v>39</v>
      </c>
      <c r="O26" s="102">
        <v>9.53</v>
      </c>
      <c r="P26" s="102">
        <v>12.7</v>
      </c>
      <c r="Q26" s="111" t="s">
        <v>39</v>
      </c>
      <c r="S26"/>
      <c r="T26"/>
      <c r="U26"/>
      <c r="V26"/>
      <c r="W26"/>
      <c r="X26"/>
      <c r="Y26"/>
    </row>
    <row r="27" spans="1:25" s="25" customFormat="1" ht="14.25">
      <c r="A27" s="59">
        <v>27</v>
      </c>
      <c r="B27" s="104">
        <v>30</v>
      </c>
      <c r="C27" s="98">
        <v>762</v>
      </c>
      <c r="D27" s="99">
        <v>6.35</v>
      </c>
      <c r="E27" s="100">
        <v>7.92</v>
      </c>
      <c r="F27" s="102">
        <v>12.7</v>
      </c>
      <c r="G27" s="102">
        <v>15.88</v>
      </c>
      <c r="H27" s="101" t="s">
        <v>39</v>
      </c>
      <c r="I27" s="101" t="s">
        <v>39</v>
      </c>
      <c r="J27" s="101" t="s">
        <v>39</v>
      </c>
      <c r="K27" s="101" t="s">
        <v>39</v>
      </c>
      <c r="L27" s="101" t="s">
        <v>39</v>
      </c>
      <c r="M27" s="101" t="s">
        <v>39</v>
      </c>
      <c r="N27" s="101" t="s">
        <v>39</v>
      </c>
      <c r="O27" s="102">
        <v>9.53</v>
      </c>
      <c r="P27" s="102">
        <v>12.7</v>
      </c>
      <c r="Q27" s="111" t="s">
        <v>39</v>
      </c>
      <c r="S27"/>
      <c r="T27"/>
      <c r="U27"/>
      <c r="V27"/>
      <c r="W27"/>
      <c r="X27"/>
      <c r="Y27"/>
    </row>
    <row r="28" spans="1:25" s="25" customFormat="1" ht="14.25">
      <c r="A28" s="59">
        <v>28</v>
      </c>
      <c r="B28" s="104">
        <v>32</v>
      </c>
      <c r="C28" s="98">
        <v>813</v>
      </c>
      <c r="D28" s="113" t="s">
        <v>39</v>
      </c>
      <c r="E28" s="100">
        <v>7.92</v>
      </c>
      <c r="F28" s="102">
        <v>12.7</v>
      </c>
      <c r="G28" s="102">
        <v>15.88</v>
      </c>
      <c r="H28" s="102">
        <v>17.48</v>
      </c>
      <c r="I28" s="101" t="s">
        <v>39</v>
      </c>
      <c r="J28" s="101" t="s">
        <v>39</v>
      </c>
      <c r="K28" s="101" t="s">
        <v>39</v>
      </c>
      <c r="L28" s="101" t="s">
        <v>39</v>
      </c>
      <c r="M28" s="101" t="s">
        <v>39</v>
      </c>
      <c r="N28" s="101" t="s">
        <v>39</v>
      </c>
      <c r="O28" s="102">
        <v>9.53</v>
      </c>
      <c r="P28" s="102">
        <v>12.7</v>
      </c>
      <c r="Q28" s="111" t="s">
        <v>39</v>
      </c>
      <c r="S28"/>
      <c r="T28"/>
      <c r="U28"/>
      <c r="V28"/>
      <c r="W28"/>
      <c r="X28"/>
      <c r="Y28"/>
    </row>
    <row r="29" spans="1:25" s="25" customFormat="1" ht="14.25">
      <c r="A29" s="59">
        <v>29</v>
      </c>
      <c r="B29" s="104">
        <v>34</v>
      </c>
      <c r="C29" s="98">
        <v>864</v>
      </c>
      <c r="D29" s="113" t="s">
        <v>39</v>
      </c>
      <c r="E29" s="100">
        <v>7.92</v>
      </c>
      <c r="F29" s="102">
        <v>12.7</v>
      </c>
      <c r="G29" s="102">
        <v>15.88</v>
      </c>
      <c r="H29" s="102">
        <v>17.48</v>
      </c>
      <c r="I29" s="101" t="s">
        <v>39</v>
      </c>
      <c r="J29" s="101" t="s">
        <v>39</v>
      </c>
      <c r="K29" s="101" t="s">
        <v>39</v>
      </c>
      <c r="L29" s="101" t="s">
        <v>39</v>
      </c>
      <c r="M29" s="101" t="s">
        <v>39</v>
      </c>
      <c r="N29" s="101" t="s">
        <v>39</v>
      </c>
      <c r="O29" s="102">
        <v>9.53</v>
      </c>
      <c r="P29" s="102">
        <v>12.7</v>
      </c>
      <c r="Q29" s="111" t="s">
        <v>39</v>
      </c>
      <c r="S29"/>
      <c r="T29"/>
      <c r="U29"/>
      <c r="V29"/>
      <c r="W29"/>
      <c r="X29"/>
      <c r="Y29"/>
    </row>
    <row r="30" spans="1:25" s="25" customFormat="1" ht="14.25">
      <c r="A30" s="59">
        <v>30</v>
      </c>
      <c r="B30" s="104">
        <v>36</v>
      </c>
      <c r="C30" s="98">
        <v>914</v>
      </c>
      <c r="D30" s="113" t="s">
        <v>39</v>
      </c>
      <c r="E30" s="102">
        <v>7.92</v>
      </c>
      <c r="F30" s="102">
        <v>12.7</v>
      </c>
      <c r="G30" s="102">
        <v>15.88</v>
      </c>
      <c r="H30" s="102">
        <v>19.05</v>
      </c>
      <c r="I30" s="101" t="s">
        <v>39</v>
      </c>
      <c r="J30" s="101" t="s">
        <v>39</v>
      </c>
      <c r="K30" s="101" t="s">
        <v>39</v>
      </c>
      <c r="L30" s="101" t="s">
        <v>39</v>
      </c>
      <c r="M30" s="101" t="s">
        <v>39</v>
      </c>
      <c r="N30" s="101" t="s">
        <v>39</v>
      </c>
      <c r="O30" s="102">
        <v>9.53</v>
      </c>
      <c r="P30" s="102">
        <v>12.7</v>
      </c>
      <c r="Q30" s="111" t="s">
        <v>39</v>
      </c>
      <c r="S30"/>
      <c r="T30"/>
      <c r="U30"/>
      <c r="V30"/>
      <c r="W30"/>
      <c r="X30"/>
      <c r="Y30"/>
    </row>
    <row r="31" spans="1:25" s="25" customFormat="1" ht="14.25">
      <c r="A31" s="59">
        <v>31</v>
      </c>
      <c r="B31" s="104">
        <v>38</v>
      </c>
      <c r="C31" s="115">
        <v>965</v>
      </c>
      <c r="D31" s="113" t="s">
        <v>39</v>
      </c>
      <c r="E31" s="101" t="s">
        <v>39</v>
      </c>
      <c r="F31" s="101" t="s">
        <v>39</v>
      </c>
      <c r="G31" s="101" t="s">
        <v>39</v>
      </c>
      <c r="H31" s="101" t="s">
        <v>39</v>
      </c>
      <c r="I31" s="101" t="s">
        <v>39</v>
      </c>
      <c r="J31" s="101" t="s">
        <v>39</v>
      </c>
      <c r="K31" s="101" t="s">
        <v>39</v>
      </c>
      <c r="L31" s="101" t="s">
        <v>39</v>
      </c>
      <c r="M31" s="101" t="s">
        <v>39</v>
      </c>
      <c r="N31" s="101" t="s">
        <v>39</v>
      </c>
      <c r="O31" s="102">
        <v>9.53</v>
      </c>
      <c r="P31" s="102">
        <v>12.7</v>
      </c>
      <c r="Q31" s="111" t="s">
        <v>39</v>
      </c>
      <c r="S31"/>
      <c r="T31"/>
      <c r="U31"/>
      <c r="V31"/>
      <c r="W31"/>
      <c r="X31"/>
      <c r="Y31"/>
    </row>
    <row r="32" spans="1:25" s="25" customFormat="1" ht="14.25">
      <c r="A32" s="59">
        <v>32</v>
      </c>
      <c r="B32" s="104">
        <v>40</v>
      </c>
      <c r="C32" s="115">
        <v>1016</v>
      </c>
      <c r="D32" s="113" t="s">
        <v>39</v>
      </c>
      <c r="E32" s="101" t="s">
        <v>39</v>
      </c>
      <c r="F32" s="101" t="s">
        <v>39</v>
      </c>
      <c r="G32" s="101" t="s">
        <v>39</v>
      </c>
      <c r="H32" s="101" t="s">
        <v>39</v>
      </c>
      <c r="I32" s="101" t="s">
        <v>39</v>
      </c>
      <c r="J32" s="101" t="s">
        <v>39</v>
      </c>
      <c r="K32" s="101" t="s">
        <v>39</v>
      </c>
      <c r="L32" s="101" t="s">
        <v>39</v>
      </c>
      <c r="M32" s="101" t="s">
        <v>39</v>
      </c>
      <c r="N32" s="101" t="s">
        <v>39</v>
      </c>
      <c r="O32" s="102">
        <v>9.53</v>
      </c>
      <c r="P32" s="102">
        <v>12.7</v>
      </c>
      <c r="Q32" s="111" t="s">
        <v>39</v>
      </c>
      <c r="S32"/>
      <c r="T32"/>
      <c r="U32"/>
      <c r="V32"/>
      <c r="W32"/>
      <c r="X32"/>
      <c r="Y32"/>
    </row>
    <row r="33" spans="1:25" s="25" customFormat="1" ht="14.25">
      <c r="A33" s="59">
        <v>33</v>
      </c>
      <c r="B33" s="104">
        <v>42</v>
      </c>
      <c r="C33" s="115">
        <v>1067</v>
      </c>
      <c r="D33" s="113" t="s">
        <v>39</v>
      </c>
      <c r="E33" s="101" t="s">
        <v>39</v>
      </c>
      <c r="F33" s="101" t="s">
        <v>39</v>
      </c>
      <c r="G33" s="101" t="s">
        <v>39</v>
      </c>
      <c r="H33" s="101" t="s">
        <v>39</v>
      </c>
      <c r="I33" s="101" t="s">
        <v>39</v>
      </c>
      <c r="J33" s="101" t="s">
        <v>39</v>
      </c>
      <c r="K33" s="101" t="s">
        <v>39</v>
      </c>
      <c r="L33" s="101" t="s">
        <v>39</v>
      </c>
      <c r="M33" s="101" t="s">
        <v>39</v>
      </c>
      <c r="N33" s="101" t="s">
        <v>39</v>
      </c>
      <c r="O33" s="102">
        <v>9.53</v>
      </c>
      <c r="P33" s="102">
        <v>12.7</v>
      </c>
      <c r="Q33" s="111" t="s">
        <v>39</v>
      </c>
      <c r="S33"/>
      <c r="T33"/>
      <c r="U33"/>
      <c r="V33"/>
      <c r="W33"/>
      <c r="X33"/>
      <c r="Y33"/>
    </row>
    <row r="34" spans="1:25" s="25" customFormat="1" ht="14.25">
      <c r="A34" s="59">
        <v>34</v>
      </c>
      <c r="B34" s="104">
        <v>44</v>
      </c>
      <c r="C34" s="115">
        <v>1118</v>
      </c>
      <c r="D34" s="113" t="s">
        <v>39</v>
      </c>
      <c r="E34" s="101" t="s">
        <v>39</v>
      </c>
      <c r="F34" s="101" t="s">
        <v>39</v>
      </c>
      <c r="G34" s="101" t="s">
        <v>39</v>
      </c>
      <c r="H34" s="101" t="s">
        <v>39</v>
      </c>
      <c r="I34" s="101" t="s">
        <v>39</v>
      </c>
      <c r="J34" s="101" t="s">
        <v>39</v>
      </c>
      <c r="K34" s="101" t="s">
        <v>39</v>
      </c>
      <c r="L34" s="101" t="s">
        <v>39</v>
      </c>
      <c r="M34" s="101" t="s">
        <v>39</v>
      </c>
      <c r="N34" s="101" t="s">
        <v>39</v>
      </c>
      <c r="O34" s="102">
        <v>9.53</v>
      </c>
      <c r="P34" s="102">
        <v>12.7</v>
      </c>
      <c r="Q34" s="111" t="s">
        <v>39</v>
      </c>
      <c r="S34"/>
      <c r="T34"/>
      <c r="U34"/>
      <c r="V34"/>
      <c r="W34"/>
      <c r="X34"/>
      <c r="Y34"/>
    </row>
    <row r="35" spans="1:21" s="25" customFormat="1" ht="14.25">
      <c r="A35" s="59">
        <v>35</v>
      </c>
      <c r="B35" s="104">
        <v>46</v>
      </c>
      <c r="C35" s="115">
        <v>1168</v>
      </c>
      <c r="D35" s="113" t="s">
        <v>39</v>
      </c>
      <c r="E35" s="101" t="s">
        <v>39</v>
      </c>
      <c r="F35" s="101" t="s">
        <v>39</v>
      </c>
      <c r="G35" s="101" t="s">
        <v>39</v>
      </c>
      <c r="H35" s="101" t="s">
        <v>39</v>
      </c>
      <c r="I35" s="101" t="s">
        <v>39</v>
      </c>
      <c r="J35" s="101" t="s">
        <v>39</v>
      </c>
      <c r="K35" s="101" t="s">
        <v>39</v>
      </c>
      <c r="L35" s="101" t="s">
        <v>39</v>
      </c>
      <c r="M35" s="101" t="s">
        <v>39</v>
      </c>
      <c r="N35" s="101" t="s">
        <v>39</v>
      </c>
      <c r="O35" s="102">
        <v>9.53</v>
      </c>
      <c r="P35" s="102">
        <v>12.7</v>
      </c>
      <c r="Q35" s="111" t="s">
        <v>39</v>
      </c>
      <c r="U35" s="60"/>
    </row>
    <row r="36" spans="1:21" s="25" customFormat="1" ht="15" thickBot="1">
      <c r="A36" s="59">
        <v>36</v>
      </c>
      <c r="B36" s="116">
        <v>48</v>
      </c>
      <c r="C36" s="117">
        <v>1219</v>
      </c>
      <c r="D36" s="118" t="s">
        <v>39</v>
      </c>
      <c r="E36" s="119" t="s">
        <v>39</v>
      </c>
      <c r="F36" s="119" t="s">
        <v>39</v>
      </c>
      <c r="G36" s="119" t="s">
        <v>39</v>
      </c>
      <c r="H36" s="119" t="s">
        <v>39</v>
      </c>
      <c r="I36" s="119" t="s">
        <v>39</v>
      </c>
      <c r="J36" s="119" t="s">
        <v>39</v>
      </c>
      <c r="K36" s="119" t="s">
        <v>39</v>
      </c>
      <c r="L36" s="119" t="s">
        <v>39</v>
      </c>
      <c r="M36" s="119" t="s">
        <v>39</v>
      </c>
      <c r="N36" s="119" t="s">
        <v>39</v>
      </c>
      <c r="O36" s="120">
        <v>9.53</v>
      </c>
      <c r="P36" s="120">
        <v>12.7</v>
      </c>
      <c r="Q36" s="121" t="s">
        <v>39</v>
      </c>
      <c r="U36" s="60"/>
    </row>
    <row r="37" s="25" customFormat="1" ht="15" thickTop="1"/>
    <row r="43" ht="14.25">
      <c r="C43" t="s">
        <v>75</v>
      </c>
    </row>
    <row r="45" ht="14.25">
      <c r="C45" t="s">
        <v>76</v>
      </c>
    </row>
    <row r="46" ht="14.25">
      <c r="C46" t="s">
        <v>77</v>
      </c>
    </row>
    <row r="47" ht="14.25">
      <c r="C47" t="s">
        <v>78</v>
      </c>
    </row>
    <row r="48" ht="14.25">
      <c r="C48" t="s">
        <v>79</v>
      </c>
    </row>
    <row r="49" ht="14.25">
      <c r="C49" t="s">
        <v>80</v>
      </c>
    </row>
    <row r="51" ht="14.25">
      <c r="C51" t="s">
        <v>81</v>
      </c>
    </row>
    <row r="52" ht="14.25">
      <c r="C52" t="s">
        <v>82</v>
      </c>
    </row>
    <row r="53" ht="14.25">
      <c r="C53" t="s">
        <v>83</v>
      </c>
    </row>
    <row r="54" ht="14.25">
      <c r="C54" t="s">
        <v>84</v>
      </c>
    </row>
    <row r="55" ht="14.25">
      <c r="C55" t="s">
        <v>85</v>
      </c>
    </row>
    <row r="56" ht="14.25">
      <c r="C56" t="s">
        <v>86</v>
      </c>
    </row>
    <row r="57" ht="14.25">
      <c r="C57" t="s">
        <v>87</v>
      </c>
    </row>
    <row r="58" ht="14.25">
      <c r="C58" t="s">
        <v>88</v>
      </c>
    </row>
    <row r="59" ht="14.25">
      <c r="C59" t="s">
        <v>54</v>
      </c>
    </row>
    <row r="60" ht="14.25">
      <c r="C60" t="s">
        <v>89</v>
      </c>
    </row>
    <row r="61" ht="14.25">
      <c r="C61" t="s">
        <v>90</v>
      </c>
    </row>
    <row r="62" ht="14.25">
      <c r="C62" t="s">
        <v>91</v>
      </c>
    </row>
    <row r="63" ht="14.25">
      <c r="C63" t="s">
        <v>92</v>
      </c>
    </row>
    <row r="64" ht="14.25">
      <c r="C64" t="s">
        <v>93</v>
      </c>
    </row>
    <row r="65" ht="14.25">
      <c r="C65" t="s">
        <v>94</v>
      </c>
    </row>
    <row r="66" ht="14.25">
      <c r="C66" t="s">
        <v>95</v>
      </c>
    </row>
    <row r="67" ht="14.25">
      <c r="C67" t="s">
        <v>96</v>
      </c>
    </row>
    <row r="68" ht="14.25">
      <c r="C68" t="s">
        <v>97</v>
      </c>
    </row>
    <row r="69" ht="14.25">
      <c r="C69" t="s">
        <v>98</v>
      </c>
    </row>
    <row r="70" ht="14.25">
      <c r="C70" t="s">
        <v>99</v>
      </c>
    </row>
    <row r="71" ht="14.25">
      <c r="C71" t="s">
        <v>100</v>
      </c>
    </row>
    <row r="72" ht="14.25">
      <c r="C72" t="s">
        <v>101</v>
      </c>
    </row>
    <row r="73" ht="14.25">
      <c r="C73" t="s">
        <v>102</v>
      </c>
    </row>
    <row r="74" ht="14.25">
      <c r="C74" t="s">
        <v>103</v>
      </c>
    </row>
    <row r="75" ht="14.25">
      <c r="C75" t="s">
        <v>104</v>
      </c>
    </row>
    <row r="76" ht="14.25">
      <c r="C76" t="s">
        <v>105</v>
      </c>
    </row>
    <row r="77" ht="14.25">
      <c r="C77" t="s">
        <v>106</v>
      </c>
    </row>
    <row r="78" ht="14.25">
      <c r="C78" t="s">
        <v>107</v>
      </c>
    </row>
    <row r="79" ht="14.25">
      <c r="C79" t="s">
        <v>108</v>
      </c>
    </row>
    <row r="80" ht="14.25">
      <c r="C80" t="s">
        <v>109</v>
      </c>
    </row>
    <row r="81" ht="14.25">
      <c r="C81" t="s">
        <v>110</v>
      </c>
    </row>
    <row r="82" ht="14.25">
      <c r="C82" t="s">
        <v>111</v>
      </c>
    </row>
    <row r="83" ht="14.25">
      <c r="C83" t="s">
        <v>112</v>
      </c>
    </row>
    <row r="84" ht="14.25">
      <c r="C84" t="s">
        <v>113</v>
      </c>
    </row>
    <row r="85" ht="14.25">
      <c r="C85" t="s">
        <v>114</v>
      </c>
    </row>
    <row r="86" ht="14.25">
      <c r="C86" t="s">
        <v>115</v>
      </c>
    </row>
    <row r="87" ht="14.25">
      <c r="C87" t="s">
        <v>116</v>
      </c>
    </row>
    <row r="88" ht="14.25">
      <c r="C88" t="s">
        <v>117</v>
      </c>
    </row>
    <row r="89" ht="14.25">
      <c r="C89" t="s">
        <v>118</v>
      </c>
    </row>
    <row r="90" ht="14.25">
      <c r="C90" t="s">
        <v>119</v>
      </c>
    </row>
    <row r="91" ht="14.25">
      <c r="C91" t="s">
        <v>120</v>
      </c>
    </row>
    <row r="92" ht="14.25">
      <c r="C92" t="s">
        <v>121</v>
      </c>
    </row>
    <row r="93" ht="14.25">
      <c r="C93" t="s">
        <v>122</v>
      </c>
    </row>
    <row r="94" ht="14.25">
      <c r="C94" t="s">
        <v>123</v>
      </c>
    </row>
    <row r="95" ht="14.25">
      <c r="C95" t="s">
        <v>124</v>
      </c>
    </row>
    <row r="96" ht="14.25">
      <c r="C96" t="s">
        <v>125</v>
      </c>
    </row>
    <row r="97" ht="14.25">
      <c r="C97" t="s">
        <v>126</v>
      </c>
    </row>
    <row r="99" ht="14.25">
      <c r="C99" t="s">
        <v>127</v>
      </c>
    </row>
    <row r="100" ht="14.25">
      <c r="C100" t="s">
        <v>128</v>
      </c>
    </row>
    <row r="101" ht="14.25">
      <c r="C101" t="s">
        <v>129</v>
      </c>
    </row>
    <row r="103" ht="14.25">
      <c r="C103" t="s">
        <v>130</v>
      </c>
    </row>
    <row r="106" ht="14.25">
      <c r="C106" t="s">
        <v>131</v>
      </c>
    </row>
    <row r="108" ht="14.25">
      <c r="C108" t="s">
        <v>132</v>
      </c>
    </row>
    <row r="109" ht="14.25">
      <c r="C109" t="s">
        <v>133</v>
      </c>
    </row>
    <row r="110" ht="14.25">
      <c r="C110" t="s">
        <v>134</v>
      </c>
    </row>
    <row r="111" ht="14.25">
      <c r="C111" t="s">
        <v>54</v>
      </c>
    </row>
    <row r="112" ht="14.25">
      <c r="C112" t="s">
        <v>135</v>
      </c>
    </row>
    <row r="113" ht="14.25">
      <c r="C113" t="s">
        <v>136</v>
      </c>
    </row>
    <row r="114" ht="14.25">
      <c r="C114" t="s">
        <v>137</v>
      </c>
    </row>
    <row r="115" ht="14.25">
      <c r="C115" t="s">
        <v>84</v>
      </c>
    </row>
    <row r="116" ht="14.25">
      <c r="C116" t="s">
        <v>138</v>
      </c>
    </row>
    <row r="117" ht="14.25">
      <c r="C117" t="s">
        <v>86</v>
      </c>
    </row>
    <row r="118" ht="14.25">
      <c r="C118" t="s">
        <v>139</v>
      </c>
    </row>
    <row r="119" ht="14.25">
      <c r="C119" t="s">
        <v>140</v>
      </c>
    </row>
    <row r="120" ht="14.25">
      <c r="C120" t="s">
        <v>141</v>
      </c>
    </row>
    <row r="121" ht="14.25">
      <c r="C121" t="s">
        <v>88</v>
      </c>
    </row>
    <row r="122" ht="14.25">
      <c r="C122" t="s">
        <v>84</v>
      </c>
    </row>
    <row r="123" ht="14.25">
      <c r="C123" t="s">
        <v>142</v>
      </c>
    </row>
    <row r="124" ht="14.25">
      <c r="C124" t="s">
        <v>143</v>
      </c>
    </row>
    <row r="125" ht="14.25">
      <c r="C125" t="s">
        <v>144</v>
      </c>
    </row>
    <row r="126" ht="14.25">
      <c r="C126" t="s">
        <v>145</v>
      </c>
    </row>
    <row r="127" ht="14.25">
      <c r="C127" t="s">
        <v>136</v>
      </c>
    </row>
    <row r="128" ht="14.25">
      <c r="C128" t="s">
        <v>90</v>
      </c>
    </row>
    <row r="129" ht="14.25">
      <c r="C129" t="s">
        <v>91</v>
      </c>
    </row>
    <row r="130" ht="14.25">
      <c r="C130" t="s">
        <v>92</v>
      </c>
    </row>
    <row r="131" ht="14.25">
      <c r="C131" t="s">
        <v>93</v>
      </c>
    </row>
    <row r="132" ht="14.25">
      <c r="C132" t="s">
        <v>94</v>
      </c>
    </row>
    <row r="133" ht="14.25">
      <c r="C133" t="s">
        <v>95</v>
      </c>
    </row>
    <row r="134" ht="14.25">
      <c r="C134" t="s">
        <v>96</v>
      </c>
    </row>
    <row r="135" ht="14.25">
      <c r="C135" t="s">
        <v>97</v>
      </c>
    </row>
    <row r="136" ht="14.25">
      <c r="C136" t="s">
        <v>98</v>
      </c>
    </row>
    <row r="137" ht="14.25">
      <c r="C137" t="s">
        <v>99</v>
      </c>
    </row>
    <row r="138" ht="14.25">
      <c r="C138" t="s">
        <v>100</v>
      </c>
    </row>
    <row r="139" ht="14.25">
      <c r="C139" t="s">
        <v>101</v>
      </c>
    </row>
    <row r="140" ht="14.25">
      <c r="C140" t="s">
        <v>102</v>
      </c>
    </row>
    <row r="141" ht="14.25">
      <c r="C141" t="s">
        <v>103</v>
      </c>
    </row>
    <row r="142" ht="14.25">
      <c r="C142" t="s">
        <v>104</v>
      </c>
    </row>
    <row r="143" ht="14.25">
      <c r="C143" t="s">
        <v>105</v>
      </c>
    </row>
    <row r="144" ht="14.25">
      <c r="C144" t="s">
        <v>106</v>
      </c>
    </row>
    <row r="145" ht="14.25">
      <c r="C145" t="s">
        <v>107</v>
      </c>
    </row>
    <row r="146" ht="14.25">
      <c r="C146" t="s">
        <v>108</v>
      </c>
    </row>
    <row r="147" ht="14.25">
      <c r="C147" t="s">
        <v>109</v>
      </c>
    </row>
    <row r="148" ht="14.25">
      <c r="C148" t="s">
        <v>110</v>
      </c>
    </row>
    <row r="149" ht="14.25">
      <c r="C149" t="s">
        <v>111</v>
      </c>
    </row>
    <row r="150" ht="14.25">
      <c r="C150" t="s">
        <v>112</v>
      </c>
    </row>
    <row r="151" ht="14.25">
      <c r="C151" t="s">
        <v>113</v>
      </c>
    </row>
    <row r="152" ht="14.25">
      <c r="C152" t="s">
        <v>114</v>
      </c>
    </row>
    <row r="153" ht="14.25">
      <c r="C153" t="s">
        <v>115</v>
      </c>
    </row>
    <row r="154" ht="14.25">
      <c r="C154" t="s">
        <v>116</v>
      </c>
    </row>
    <row r="155" ht="14.25">
      <c r="C155" t="s">
        <v>117</v>
      </c>
    </row>
    <row r="156" ht="14.25">
      <c r="C156" t="s">
        <v>118</v>
      </c>
    </row>
    <row r="157" ht="14.25">
      <c r="C157" t="s">
        <v>119</v>
      </c>
    </row>
    <row r="158" ht="14.25">
      <c r="C158" t="s">
        <v>120</v>
      </c>
    </row>
    <row r="159" ht="14.25">
      <c r="C159" t="s">
        <v>123</v>
      </c>
    </row>
    <row r="160" ht="14.25">
      <c r="C160" t="s">
        <v>146</v>
      </c>
    </row>
    <row r="161" ht="14.25">
      <c r="C161" t="s">
        <v>147</v>
      </c>
    </row>
    <row r="162" ht="14.25">
      <c r="C162" t="s">
        <v>148</v>
      </c>
    </row>
    <row r="163" ht="14.25">
      <c r="C163" t="s">
        <v>126</v>
      </c>
    </row>
    <row r="167" ht="14.25">
      <c r="C167" t="s">
        <v>149</v>
      </c>
    </row>
    <row r="168" ht="14.25">
      <c r="C168" t="s">
        <v>150</v>
      </c>
    </row>
    <row r="169" ht="14.25">
      <c r="C169" t="s">
        <v>151</v>
      </c>
    </row>
    <row r="170" ht="14.25">
      <c r="C170" t="s">
        <v>152</v>
      </c>
    </row>
    <row r="171" ht="14.25">
      <c r="C171" t="s">
        <v>153</v>
      </c>
    </row>
    <row r="172" ht="14.25">
      <c r="C172" t="s">
        <v>154</v>
      </c>
    </row>
    <row r="173" ht="14.25">
      <c r="C173" t="s">
        <v>155</v>
      </c>
    </row>
    <row r="174" ht="14.25">
      <c r="C174" t="s">
        <v>156</v>
      </c>
    </row>
    <row r="175" ht="14.25">
      <c r="C175" t="s">
        <v>157</v>
      </c>
    </row>
    <row r="176" ht="14.25">
      <c r="C176" t="s">
        <v>158</v>
      </c>
    </row>
    <row r="177" ht="14.25">
      <c r="C177" t="s">
        <v>159</v>
      </c>
    </row>
    <row r="178" ht="14.25">
      <c r="C178" t="s">
        <v>160</v>
      </c>
    </row>
    <row r="179" ht="14.25">
      <c r="C179" t="s">
        <v>161</v>
      </c>
    </row>
    <row r="180" ht="14.25">
      <c r="C180" t="s">
        <v>162</v>
      </c>
    </row>
    <row r="181" ht="14.25">
      <c r="C181" t="s">
        <v>163</v>
      </c>
    </row>
    <row r="183" ht="14.25">
      <c r="C183" t="s">
        <v>123</v>
      </c>
    </row>
    <row r="184" ht="14.25">
      <c r="C184" t="s">
        <v>164</v>
      </c>
    </row>
    <row r="185" ht="14.25">
      <c r="C185" t="s">
        <v>165</v>
      </c>
    </row>
    <row r="186" ht="14.25">
      <c r="C186" t="s">
        <v>126</v>
      </c>
    </row>
    <row r="190" ht="14.25">
      <c r="C190" t="s">
        <v>54</v>
      </c>
    </row>
    <row r="191" ht="14.25">
      <c r="C191" t="s">
        <v>166</v>
      </c>
    </row>
    <row r="192" ht="14.25">
      <c r="C192" t="s">
        <v>167</v>
      </c>
    </row>
    <row r="193" ht="14.25">
      <c r="C193" t="s">
        <v>143</v>
      </c>
    </row>
    <row r="194" ht="14.25">
      <c r="C194" t="s">
        <v>168</v>
      </c>
    </row>
    <row r="195" ht="14.25">
      <c r="C195" t="s">
        <v>130</v>
      </c>
    </row>
    <row r="197" ht="14.25">
      <c r="C197" t="s">
        <v>169</v>
      </c>
    </row>
    <row r="198" ht="14.25">
      <c r="C198" t="s">
        <v>170</v>
      </c>
    </row>
    <row r="199" ht="14.25">
      <c r="C199" t="s">
        <v>171</v>
      </c>
    </row>
    <row r="200" ht="14.25">
      <c r="C200" t="s">
        <v>133</v>
      </c>
    </row>
    <row r="201" ht="14.25">
      <c r="C201" t="s">
        <v>134</v>
      </c>
    </row>
    <row r="203" ht="14.25">
      <c r="C203" t="s">
        <v>172</v>
      </c>
    </row>
    <row r="204" ht="14.25">
      <c r="C204" t="s">
        <v>173</v>
      </c>
    </row>
    <row r="205" ht="14.25">
      <c r="C205" t="s">
        <v>174</v>
      </c>
    </row>
    <row r="206" ht="14.25">
      <c r="C206" t="s">
        <v>144</v>
      </c>
    </row>
    <row r="207" ht="14.25">
      <c r="C207" t="s">
        <v>168</v>
      </c>
    </row>
    <row r="208" ht="14.25">
      <c r="C208" t="s">
        <v>84</v>
      </c>
    </row>
    <row r="209" ht="14.25">
      <c r="C209" t="s">
        <v>175</v>
      </c>
    </row>
    <row r="210" ht="14.25">
      <c r="C210" t="s">
        <v>174</v>
      </c>
    </row>
    <row r="211" ht="14.25">
      <c r="C211" t="s">
        <v>144</v>
      </c>
    </row>
    <row r="212" ht="14.25">
      <c r="C212" t="s">
        <v>168</v>
      </c>
    </row>
    <row r="213" ht="14.25">
      <c r="C213" t="s">
        <v>84</v>
      </c>
    </row>
    <row r="214" ht="14.25">
      <c r="C214" t="s">
        <v>84</v>
      </c>
    </row>
    <row r="215" ht="14.25">
      <c r="C215" t="s">
        <v>176</v>
      </c>
    </row>
    <row r="216" ht="14.25">
      <c r="C216" t="s">
        <v>130</v>
      </c>
    </row>
    <row r="219" ht="14.25">
      <c r="C219" t="s">
        <v>136</v>
      </c>
    </row>
    <row r="221" ht="14.25">
      <c r="C221" t="s">
        <v>136</v>
      </c>
    </row>
  </sheetData>
  <sheetProtection/>
  <dataValidations count="2">
    <dataValidation type="list" allowBlank="1" showInputMessage="1" showErrorMessage="1" sqref="W6">
      <formula1>$D$6:$Q$6</formula1>
    </dataValidation>
    <dataValidation type="list" allowBlank="1" showInputMessage="1" showErrorMessage="1" sqref="W5">
      <formula1>$B$7:$B$36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D37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4" ht="14.25">
      <c r="A1">
        <v>1</v>
      </c>
      <c r="B1">
        <v>0</v>
      </c>
      <c r="C1">
        <v>-2</v>
      </c>
      <c r="D1">
        <v>0.14632971213167</v>
      </c>
    </row>
    <row r="2" spans="1:4" ht="14.25">
      <c r="A2">
        <v>2</v>
      </c>
      <c r="B2">
        <v>0</v>
      </c>
      <c r="C2">
        <v>-1</v>
      </c>
      <c r="D2">
        <v>-0.84548187169114</v>
      </c>
    </row>
    <row r="3" spans="1:4" ht="14.25">
      <c r="A3">
        <v>3</v>
      </c>
      <c r="B3">
        <v>0</v>
      </c>
      <c r="C3">
        <v>0</v>
      </c>
      <c r="D3">
        <v>-3.756360367204</v>
      </c>
    </row>
    <row r="4" spans="1:4" ht="14.25">
      <c r="A4">
        <v>4</v>
      </c>
      <c r="B4">
        <v>0</v>
      </c>
      <c r="C4">
        <v>1</v>
      </c>
      <c r="D4">
        <v>3.3855169168385</v>
      </c>
    </row>
    <row r="5" spans="1:4" ht="14.25">
      <c r="A5">
        <v>5</v>
      </c>
      <c r="B5">
        <v>0</v>
      </c>
      <c r="C5">
        <v>2</v>
      </c>
      <c r="D5">
        <v>-0.95791963387872</v>
      </c>
    </row>
    <row r="6" spans="1:4" ht="14.25">
      <c r="A6">
        <v>6</v>
      </c>
      <c r="B6">
        <v>0</v>
      </c>
      <c r="C6">
        <v>3</v>
      </c>
      <c r="D6">
        <v>0.15772038513228</v>
      </c>
    </row>
    <row r="7" spans="1:4" ht="14.25">
      <c r="A7">
        <v>7</v>
      </c>
      <c r="B7">
        <v>0</v>
      </c>
      <c r="C7">
        <v>4</v>
      </c>
      <c r="D7">
        <v>-0.016616417199501</v>
      </c>
    </row>
    <row r="8" spans="1:4" ht="14.25">
      <c r="A8">
        <v>8</v>
      </c>
      <c r="B8">
        <v>0</v>
      </c>
      <c r="C8">
        <v>5</v>
      </c>
      <c r="D8">
        <v>0.00081214629983568</v>
      </c>
    </row>
    <row r="9" spans="1:4" ht="14.25">
      <c r="A9">
        <v>9</v>
      </c>
      <c r="B9">
        <v>1</v>
      </c>
      <c r="C9">
        <v>-9</v>
      </c>
      <c r="D9">
        <v>0.00028319080123804</v>
      </c>
    </row>
    <row r="10" spans="1:4" ht="14.25">
      <c r="A10">
        <v>10</v>
      </c>
      <c r="B10">
        <v>1</v>
      </c>
      <c r="C10">
        <v>-7</v>
      </c>
      <c r="D10">
        <v>-0.00060706301565874</v>
      </c>
    </row>
    <row r="11" spans="1:4" ht="14.25">
      <c r="A11">
        <v>11</v>
      </c>
      <c r="B11">
        <v>1</v>
      </c>
      <c r="C11">
        <v>-1</v>
      </c>
      <c r="D11">
        <v>-0.018990068218419</v>
      </c>
    </row>
    <row r="12" spans="1:4" ht="14.25">
      <c r="A12">
        <v>12</v>
      </c>
      <c r="B12">
        <v>1</v>
      </c>
      <c r="C12">
        <v>0</v>
      </c>
      <c r="D12">
        <v>-0.032529748770505</v>
      </c>
    </row>
    <row r="13" spans="1:4" ht="14.25">
      <c r="A13">
        <v>13</v>
      </c>
      <c r="B13">
        <v>1</v>
      </c>
      <c r="C13">
        <v>1</v>
      </c>
      <c r="D13">
        <v>-0.021841717175414</v>
      </c>
    </row>
    <row r="14" spans="1:4" ht="14.25">
      <c r="A14">
        <v>14</v>
      </c>
      <c r="B14">
        <v>1</v>
      </c>
      <c r="C14">
        <v>3</v>
      </c>
      <c r="D14">
        <v>-5.283835796993E-05</v>
      </c>
    </row>
    <row r="15" spans="1:4" ht="14.25">
      <c r="A15">
        <v>15</v>
      </c>
      <c r="B15">
        <v>2</v>
      </c>
      <c r="C15">
        <v>-3</v>
      </c>
      <c r="D15">
        <v>-0.00047184321073267</v>
      </c>
    </row>
    <row r="16" spans="1:4" ht="14.25">
      <c r="A16">
        <v>16</v>
      </c>
      <c r="B16">
        <v>2</v>
      </c>
      <c r="C16">
        <v>0</v>
      </c>
      <c r="D16">
        <v>-0.00030001780793026</v>
      </c>
    </row>
    <row r="17" spans="1:4" ht="14.25">
      <c r="A17">
        <v>17</v>
      </c>
      <c r="B17">
        <v>2</v>
      </c>
      <c r="C17">
        <v>1</v>
      </c>
      <c r="D17">
        <v>4.7661393906987E-05</v>
      </c>
    </row>
    <row r="18" spans="1:4" ht="14.25">
      <c r="A18">
        <v>18</v>
      </c>
      <c r="B18">
        <v>2</v>
      </c>
      <c r="C18">
        <v>3</v>
      </c>
      <c r="D18">
        <v>-4.4141845330846E-06</v>
      </c>
    </row>
    <row r="19" spans="1:4" ht="14.25">
      <c r="A19">
        <v>19</v>
      </c>
      <c r="B19">
        <v>2</v>
      </c>
      <c r="C19">
        <v>17</v>
      </c>
      <c r="D19">
        <v>-7.2694996297594E-16</v>
      </c>
    </row>
    <row r="20" spans="1:4" ht="14.25">
      <c r="A20">
        <v>20</v>
      </c>
      <c r="B20">
        <v>3</v>
      </c>
      <c r="C20">
        <v>-4</v>
      </c>
      <c r="D20">
        <v>-3.1679644845054E-05</v>
      </c>
    </row>
    <row r="21" spans="1:4" ht="14.25">
      <c r="A21">
        <v>21</v>
      </c>
      <c r="B21">
        <v>3</v>
      </c>
      <c r="C21">
        <v>0</v>
      </c>
      <c r="D21">
        <v>-2.8270797985312E-06</v>
      </c>
    </row>
    <row r="22" spans="1:4" ht="14.25">
      <c r="A22">
        <v>22</v>
      </c>
      <c r="B22">
        <v>3</v>
      </c>
      <c r="C22">
        <v>6</v>
      </c>
      <c r="D22">
        <v>-8.5205128120103E-10</v>
      </c>
    </row>
    <row r="23" spans="1:4" ht="14.25">
      <c r="A23">
        <v>23</v>
      </c>
      <c r="B23">
        <v>4</v>
      </c>
      <c r="C23">
        <v>-5</v>
      </c>
      <c r="D23">
        <v>-2.2425281908E-06</v>
      </c>
    </row>
    <row r="24" spans="1:4" ht="14.25">
      <c r="A24">
        <v>24</v>
      </c>
      <c r="B24">
        <v>4</v>
      </c>
      <c r="C24">
        <v>-2</v>
      </c>
      <c r="D24">
        <v>-6.5171222895601E-07</v>
      </c>
    </row>
    <row r="25" spans="1:4" ht="14.25">
      <c r="A25">
        <v>25</v>
      </c>
      <c r="B25">
        <v>4</v>
      </c>
      <c r="C25">
        <v>10</v>
      </c>
      <c r="D25">
        <v>-1.4341729937924E-13</v>
      </c>
    </row>
    <row r="26" spans="1:4" ht="14.25">
      <c r="A26">
        <v>26</v>
      </c>
      <c r="B26">
        <v>5</v>
      </c>
      <c r="C26">
        <v>-8</v>
      </c>
      <c r="D26">
        <v>-4.0516996860117E-07</v>
      </c>
    </row>
    <row r="27" spans="1:4" ht="14.25">
      <c r="A27">
        <v>27</v>
      </c>
      <c r="B27">
        <v>8</v>
      </c>
      <c r="C27">
        <v>-11</v>
      </c>
      <c r="D27">
        <v>-1.2734301741641E-09</v>
      </c>
    </row>
    <row r="28" spans="1:4" ht="14.25">
      <c r="A28">
        <v>28</v>
      </c>
      <c r="B28">
        <v>8</v>
      </c>
      <c r="C28">
        <v>-6</v>
      </c>
      <c r="D28">
        <v>-1.7424871230634E-10</v>
      </c>
    </row>
    <row r="29" spans="1:4" ht="14.25">
      <c r="A29">
        <v>29</v>
      </c>
      <c r="B29">
        <v>21</v>
      </c>
      <c r="C29">
        <v>-29</v>
      </c>
      <c r="D29">
        <v>-6.8762131295531E-19</v>
      </c>
    </row>
    <row r="30" spans="1:4" ht="14.25">
      <c r="A30">
        <v>30</v>
      </c>
      <c r="B30">
        <v>23</v>
      </c>
      <c r="C30">
        <v>-31</v>
      </c>
      <c r="D30">
        <v>1.4478307828521E-20</v>
      </c>
    </row>
    <row r="31" spans="1:4" ht="14.25">
      <c r="A31">
        <v>31</v>
      </c>
      <c r="B31">
        <v>29</v>
      </c>
      <c r="C31">
        <v>-38</v>
      </c>
      <c r="D31">
        <v>2.6335781662795E-23</v>
      </c>
    </row>
    <row r="32" spans="1:4" ht="14.25">
      <c r="A32">
        <v>32</v>
      </c>
      <c r="B32">
        <v>30</v>
      </c>
      <c r="C32">
        <v>-39</v>
      </c>
      <c r="D32">
        <v>-1.1947622640071E-23</v>
      </c>
    </row>
    <row r="33" spans="1:4" ht="14.25">
      <c r="A33">
        <v>33</v>
      </c>
      <c r="B33">
        <v>31</v>
      </c>
      <c r="C33">
        <v>-40</v>
      </c>
      <c r="D33">
        <v>1.8228094581404E-24</v>
      </c>
    </row>
    <row r="34" spans="1:4" ht="14.25">
      <c r="A34">
        <v>34</v>
      </c>
      <c r="B34">
        <v>32</v>
      </c>
      <c r="C34">
        <v>-41</v>
      </c>
      <c r="D34">
        <v>-9.3537087292458E-26</v>
      </c>
    </row>
    <row r="36" spans="1:4" ht="14.25">
      <c r="A36" t="s">
        <v>0</v>
      </c>
      <c r="B36" t="s">
        <v>1</v>
      </c>
      <c r="C36" t="s">
        <v>2</v>
      </c>
      <c r="D36" t="s">
        <v>3</v>
      </c>
    </row>
    <row r="37" ht="14.25">
      <c r="A37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2" ht="14.25">
      <c r="A1">
        <v>1</v>
      </c>
      <c r="B1">
        <v>348.05185628969</v>
      </c>
    </row>
    <row r="2" spans="1:2" ht="14.25">
      <c r="A2">
        <v>2</v>
      </c>
      <c r="B2">
        <v>-1.1671859879975</v>
      </c>
    </row>
    <row r="3" spans="1:2" ht="14.25">
      <c r="A3">
        <v>3</v>
      </c>
      <c r="B3">
        <v>0.0010192970039326</v>
      </c>
    </row>
    <row r="4" spans="1:2" ht="14.25">
      <c r="A4">
        <v>4</v>
      </c>
      <c r="B4">
        <v>572.54459862746</v>
      </c>
    </row>
    <row r="5" spans="1:2" ht="14.25">
      <c r="A5">
        <v>5</v>
      </c>
      <c r="B5">
        <v>13.91883977887</v>
      </c>
    </row>
    <row r="8" ht="14.25">
      <c r="A8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C12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3" ht="14.25">
      <c r="A1" t="s">
        <v>6</v>
      </c>
      <c r="B1">
        <v>0</v>
      </c>
      <c r="C1">
        <v>-9.6927686500217</v>
      </c>
    </row>
    <row r="2" spans="1:3" ht="14.25">
      <c r="A2">
        <v>2</v>
      </c>
      <c r="B2">
        <v>1</v>
      </c>
      <c r="C2">
        <v>10.086655968018</v>
      </c>
    </row>
    <row r="3" spans="1:3" ht="14.25">
      <c r="A3">
        <v>3</v>
      </c>
      <c r="B3">
        <v>-5</v>
      </c>
      <c r="C3">
        <v>-0.005608791128302</v>
      </c>
    </row>
    <row r="4" spans="1:3" ht="14.25">
      <c r="A4">
        <v>4</v>
      </c>
      <c r="B4">
        <v>-4</v>
      </c>
      <c r="C4">
        <v>0.071452738081455</v>
      </c>
    </row>
    <row r="5" spans="1:3" ht="14.25">
      <c r="A5">
        <v>5</v>
      </c>
      <c r="B5">
        <v>-3</v>
      </c>
      <c r="C5">
        <v>-0.40710498223928</v>
      </c>
    </row>
    <row r="6" spans="1:3" ht="14.25">
      <c r="A6">
        <v>6</v>
      </c>
      <c r="B6">
        <v>-2</v>
      </c>
      <c r="C6">
        <v>1.4240819171444</v>
      </c>
    </row>
    <row r="7" spans="1:3" ht="14.25">
      <c r="A7">
        <v>7</v>
      </c>
      <c r="B7">
        <v>-1</v>
      </c>
      <c r="C7">
        <v>-4.383951131945</v>
      </c>
    </row>
    <row r="8" spans="1:3" ht="14.25">
      <c r="A8">
        <v>8</v>
      </c>
      <c r="B8">
        <v>2</v>
      </c>
      <c r="C8">
        <v>-0.28408632460772</v>
      </c>
    </row>
    <row r="9" spans="1:3" ht="14.25">
      <c r="A9">
        <v>9</v>
      </c>
      <c r="B9">
        <v>3</v>
      </c>
      <c r="C9">
        <v>0.021268463753307</v>
      </c>
    </row>
    <row r="12" ht="14.25">
      <c r="A1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D47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4" ht="14.25">
      <c r="A1">
        <v>1</v>
      </c>
      <c r="B1">
        <v>1</v>
      </c>
      <c r="C1">
        <v>0</v>
      </c>
      <c r="D1">
        <v>-0.0017731742473213</v>
      </c>
    </row>
    <row r="2" spans="1:4" ht="14.25">
      <c r="A2">
        <v>2</v>
      </c>
      <c r="B2">
        <v>1</v>
      </c>
      <c r="C2">
        <v>1</v>
      </c>
      <c r="D2">
        <v>-0.017834862292358</v>
      </c>
    </row>
    <row r="3" spans="1:4" ht="14.25">
      <c r="A3" t="s">
        <v>8</v>
      </c>
      <c r="B3">
        <v>1</v>
      </c>
      <c r="C3">
        <v>2</v>
      </c>
      <c r="D3">
        <v>-0.045996013696365</v>
      </c>
    </row>
    <row r="4" spans="1:4" ht="14.25">
      <c r="A4">
        <v>4</v>
      </c>
      <c r="B4">
        <v>1</v>
      </c>
      <c r="C4">
        <v>3</v>
      </c>
      <c r="D4">
        <v>-0.057581259083432</v>
      </c>
    </row>
    <row r="5" spans="1:4" ht="14.25">
      <c r="A5">
        <v>5</v>
      </c>
      <c r="B5">
        <v>1</v>
      </c>
      <c r="C5">
        <v>6</v>
      </c>
      <c r="D5">
        <v>-0.05032527872793</v>
      </c>
    </row>
    <row r="6" spans="1:4" ht="14.25">
      <c r="A6">
        <v>6</v>
      </c>
      <c r="B6">
        <v>2</v>
      </c>
      <c r="C6">
        <v>1</v>
      </c>
      <c r="D6">
        <v>-3.3032641670203E-05</v>
      </c>
    </row>
    <row r="7" spans="1:4" ht="14.25">
      <c r="A7">
        <v>7</v>
      </c>
      <c r="B7">
        <v>2</v>
      </c>
      <c r="C7">
        <v>2</v>
      </c>
      <c r="D7">
        <v>-0.00018948987516315</v>
      </c>
    </row>
    <row r="8" spans="1:4" ht="14.25">
      <c r="A8">
        <v>8</v>
      </c>
      <c r="B8">
        <v>2</v>
      </c>
      <c r="C8">
        <v>4</v>
      </c>
      <c r="D8">
        <v>-0.0039392777243355</v>
      </c>
    </row>
    <row r="9" spans="1:4" ht="14.25">
      <c r="A9">
        <v>9</v>
      </c>
      <c r="B9">
        <v>2</v>
      </c>
      <c r="C9">
        <v>7</v>
      </c>
      <c r="D9">
        <v>-0.043797295650573</v>
      </c>
    </row>
    <row r="10" spans="1:4" ht="14.25">
      <c r="A10">
        <v>10</v>
      </c>
      <c r="B10">
        <v>2</v>
      </c>
      <c r="C10">
        <v>36</v>
      </c>
      <c r="D10">
        <v>-2.6674547914087E-05</v>
      </c>
    </row>
    <row r="11" spans="1:4" ht="14.25">
      <c r="A11">
        <v>11</v>
      </c>
      <c r="B11">
        <v>3</v>
      </c>
      <c r="C11">
        <v>0</v>
      </c>
      <c r="D11">
        <v>2.0481737692309E-08</v>
      </c>
    </row>
    <row r="12" spans="1:4" ht="14.25">
      <c r="A12">
        <v>12</v>
      </c>
      <c r="B12">
        <v>3</v>
      </c>
      <c r="C12">
        <v>1</v>
      </c>
      <c r="D12">
        <v>4.3870667284435E-07</v>
      </c>
    </row>
    <row r="13" spans="1:4" ht="14.25">
      <c r="A13">
        <v>13</v>
      </c>
      <c r="B13">
        <v>3</v>
      </c>
      <c r="C13">
        <v>3</v>
      </c>
      <c r="D13">
        <v>-3.227767723857E-05</v>
      </c>
    </row>
    <row r="14" spans="1:4" ht="14.25">
      <c r="A14">
        <v>14</v>
      </c>
      <c r="B14">
        <v>3</v>
      </c>
      <c r="C14">
        <v>6</v>
      </c>
      <c r="D14">
        <v>-0.0015033924542148</v>
      </c>
    </row>
    <row r="15" spans="1:4" ht="14.25">
      <c r="A15">
        <v>15</v>
      </c>
      <c r="B15">
        <v>3</v>
      </c>
      <c r="C15">
        <v>35</v>
      </c>
      <c r="D15">
        <v>-0.040668253562649</v>
      </c>
    </row>
    <row r="16" spans="1:4" ht="14.25">
      <c r="A16">
        <v>16</v>
      </c>
      <c r="B16">
        <v>4</v>
      </c>
      <c r="C16">
        <v>1</v>
      </c>
      <c r="D16">
        <v>-7.8847309559367E-10</v>
      </c>
    </row>
    <row r="17" spans="1:4" ht="14.25">
      <c r="A17">
        <v>17</v>
      </c>
      <c r="B17">
        <v>4</v>
      </c>
      <c r="C17">
        <v>2</v>
      </c>
      <c r="D17">
        <v>1.2790717852285E-08</v>
      </c>
    </row>
    <row r="18" spans="1:4" ht="14.25">
      <c r="A18">
        <v>18</v>
      </c>
      <c r="B18">
        <v>4</v>
      </c>
      <c r="C18">
        <v>3</v>
      </c>
      <c r="D18">
        <v>4.8225372718507E-07</v>
      </c>
    </row>
    <row r="19" spans="1:4" ht="14.25">
      <c r="A19">
        <v>19</v>
      </c>
      <c r="B19">
        <v>5</v>
      </c>
      <c r="C19">
        <v>7</v>
      </c>
      <c r="D19">
        <v>2.2922076337661E-06</v>
      </c>
    </row>
    <row r="20" spans="1:4" ht="14.25">
      <c r="A20">
        <v>20</v>
      </c>
      <c r="B20">
        <v>6</v>
      </c>
      <c r="C20">
        <v>3</v>
      </c>
      <c r="D20">
        <v>-1.6714766451061E-11</v>
      </c>
    </row>
    <row r="21" spans="1:4" ht="14.25">
      <c r="A21">
        <v>21</v>
      </c>
      <c r="B21">
        <v>6</v>
      </c>
      <c r="C21">
        <v>16</v>
      </c>
      <c r="D21">
        <v>-0.0021171472321355</v>
      </c>
    </row>
    <row r="22" spans="1:4" ht="14.25">
      <c r="A22">
        <v>22</v>
      </c>
      <c r="B22">
        <v>6</v>
      </c>
      <c r="C22">
        <v>35</v>
      </c>
      <c r="D22">
        <v>-23.895741934104</v>
      </c>
    </row>
    <row r="23" spans="1:4" ht="14.25">
      <c r="A23">
        <v>23</v>
      </c>
      <c r="B23">
        <v>7</v>
      </c>
      <c r="C23">
        <v>0</v>
      </c>
      <c r="D23">
        <v>-5.905956432427E-18</v>
      </c>
    </row>
    <row r="24" spans="1:4" ht="14.25">
      <c r="A24">
        <v>24</v>
      </c>
      <c r="B24">
        <v>7</v>
      </c>
      <c r="C24">
        <v>11</v>
      </c>
      <c r="D24">
        <v>-1.2621808899101E-06</v>
      </c>
    </row>
    <row r="25" spans="1:4" ht="14.25">
      <c r="A25">
        <v>25</v>
      </c>
      <c r="B25">
        <v>7</v>
      </c>
      <c r="C25">
        <v>25</v>
      </c>
      <c r="D25">
        <v>-0.038946842435739</v>
      </c>
    </row>
    <row r="26" spans="1:4" ht="14.25">
      <c r="A26">
        <v>26</v>
      </c>
      <c r="B26">
        <v>8</v>
      </c>
      <c r="C26">
        <v>8</v>
      </c>
      <c r="D26">
        <v>1.1256211360459E-11</v>
      </c>
    </row>
    <row r="27" spans="1:4" ht="14.25">
      <c r="A27">
        <v>27</v>
      </c>
      <c r="B27">
        <v>8</v>
      </c>
      <c r="C27">
        <v>36</v>
      </c>
      <c r="D27">
        <v>-8.2311340897998</v>
      </c>
    </row>
    <row r="28" spans="1:4" ht="14.25">
      <c r="A28">
        <v>28</v>
      </c>
      <c r="B28">
        <v>9</v>
      </c>
      <c r="C28">
        <v>13</v>
      </c>
      <c r="D28">
        <v>1.9809712802088E-08</v>
      </c>
    </row>
    <row r="29" spans="1:4" ht="14.25">
      <c r="A29">
        <v>29</v>
      </c>
      <c r="B29">
        <v>10</v>
      </c>
      <c r="C29">
        <v>4</v>
      </c>
      <c r="D29">
        <v>1.0406965210174E-19</v>
      </c>
    </row>
    <row r="30" spans="1:4" ht="14.25">
      <c r="A30">
        <v>30</v>
      </c>
      <c r="B30">
        <v>10</v>
      </c>
      <c r="C30">
        <v>10</v>
      </c>
      <c r="D30">
        <v>-1.0234747095929E-13</v>
      </c>
    </row>
    <row r="31" spans="1:4" ht="14.25">
      <c r="A31">
        <v>31</v>
      </c>
      <c r="B31">
        <v>10</v>
      </c>
      <c r="C31">
        <v>14</v>
      </c>
      <c r="D31">
        <v>-1.0018179379511E-09</v>
      </c>
    </row>
    <row r="32" spans="1:4" ht="14.25">
      <c r="A32">
        <v>32</v>
      </c>
      <c r="B32">
        <v>16</v>
      </c>
      <c r="C32">
        <v>29</v>
      </c>
      <c r="D32">
        <v>-8.0882908646985E-11</v>
      </c>
    </row>
    <row r="33" spans="1:4" ht="14.25">
      <c r="A33">
        <v>33</v>
      </c>
      <c r="B33">
        <v>16</v>
      </c>
      <c r="C33">
        <v>50</v>
      </c>
      <c r="D33">
        <v>0.10693031879409</v>
      </c>
    </row>
    <row r="34" spans="1:4" ht="14.25">
      <c r="A34">
        <v>34</v>
      </c>
      <c r="B34">
        <v>18</v>
      </c>
      <c r="C34">
        <v>57</v>
      </c>
      <c r="D34">
        <v>-0.33662250574171</v>
      </c>
    </row>
    <row r="35" spans="1:4" ht="14.25">
      <c r="A35">
        <v>35</v>
      </c>
      <c r="B35">
        <v>20</v>
      </c>
      <c r="C35">
        <v>20</v>
      </c>
      <c r="D35">
        <v>8.9185845355421E-25</v>
      </c>
    </row>
    <row r="36" spans="1:4" ht="14.25">
      <c r="A36">
        <v>36</v>
      </c>
      <c r="B36">
        <v>20</v>
      </c>
      <c r="C36">
        <v>35</v>
      </c>
      <c r="D36">
        <v>3.0629316876232E-13</v>
      </c>
    </row>
    <row r="37" spans="1:4" ht="14.25">
      <c r="A37">
        <v>37</v>
      </c>
      <c r="B37">
        <v>20</v>
      </c>
      <c r="C37">
        <v>48</v>
      </c>
      <c r="D37">
        <v>-4.2002467698208E-06</v>
      </c>
    </row>
    <row r="38" spans="1:4" ht="14.25">
      <c r="A38">
        <v>38</v>
      </c>
      <c r="B38">
        <v>21</v>
      </c>
      <c r="C38">
        <v>21</v>
      </c>
      <c r="D38">
        <v>-5.9056029685639E-26</v>
      </c>
    </row>
    <row r="39" spans="1:4" ht="14.25">
      <c r="A39">
        <v>39</v>
      </c>
      <c r="B39">
        <v>22</v>
      </c>
      <c r="C39">
        <v>53</v>
      </c>
      <c r="D39">
        <v>3.7826947613457E-06</v>
      </c>
    </row>
    <row r="40" spans="1:4" ht="14.25">
      <c r="A40">
        <v>40</v>
      </c>
      <c r="B40">
        <v>23</v>
      </c>
      <c r="C40">
        <v>39</v>
      </c>
      <c r="D40">
        <v>-1.2768608934681E-15</v>
      </c>
    </row>
    <row r="41" spans="1:4" ht="14.25">
      <c r="A41">
        <v>41</v>
      </c>
      <c r="B41">
        <v>24</v>
      </c>
      <c r="C41">
        <v>26</v>
      </c>
      <c r="D41">
        <v>7.3087610595061E-29</v>
      </c>
    </row>
    <row r="42" spans="1:4" ht="14.25">
      <c r="A42">
        <v>42</v>
      </c>
      <c r="B42">
        <v>24</v>
      </c>
      <c r="C42">
        <v>40</v>
      </c>
      <c r="D42">
        <v>5.5414715350778E-17</v>
      </c>
    </row>
    <row r="43" spans="1:4" ht="14.25">
      <c r="A43">
        <v>43</v>
      </c>
      <c r="B43">
        <v>24</v>
      </c>
      <c r="C43">
        <v>58</v>
      </c>
      <c r="D43">
        <v>-9.436970724121E-07</v>
      </c>
    </row>
    <row r="46" spans="1:4" ht="14.25">
      <c r="A46" t="s">
        <v>0</v>
      </c>
      <c r="B46" t="s">
        <v>9</v>
      </c>
      <c r="C46" t="s">
        <v>10</v>
      </c>
      <c r="D46" t="s">
        <v>11</v>
      </c>
    </row>
    <row r="47" ht="14.25">
      <c r="A47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D15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4" ht="14.25">
      <c r="A1">
        <v>1</v>
      </c>
      <c r="B1">
        <v>1</v>
      </c>
      <c r="C1">
        <v>0</v>
      </c>
      <c r="D1">
        <v>-0.0073362260186506</v>
      </c>
    </row>
    <row r="2" spans="1:4" ht="14.25">
      <c r="A2">
        <v>2</v>
      </c>
      <c r="B2">
        <v>1</v>
      </c>
      <c r="C2">
        <v>2</v>
      </c>
      <c r="D2">
        <v>-0.088223831943146</v>
      </c>
    </row>
    <row r="3" spans="1:4" ht="14.25">
      <c r="A3">
        <v>3</v>
      </c>
      <c r="B3">
        <v>1</v>
      </c>
      <c r="C3">
        <v>5</v>
      </c>
      <c r="D3">
        <v>-0.072334555213245</v>
      </c>
    </row>
    <row r="4" spans="1:4" ht="14.25">
      <c r="A4">
        <v>4</v>
      </c>
      <c r="B4">
        <v>1</v>
      </c>
      <c r="C4">
        <v>11</v>
      </c>
      <c r="D4">
        <v>-0.0040813178534455</v>
      </c>
    </row>
    <row r="5" spans="1:4" ht="14.25">
      <c r="A5">
        <v>5</v>
      </c>
      <c r="B5">
        <v>2</v>
      </c>
      <c r="C5">
        <v>1</v>
      </c>
      <c r="D5">
        <v>0.0020097803380207</v>
      </c>
    </row>
    <row r="6" spans="1:4" ht="14.25">
      <c r="A6">
        <v>6</v>
      </c>
      <c r="B6">
        <v>2</v>
      </c>
      <c r="C6">
        <v>7</v>
      </c>
      <c r="D6">
        <v>-0.053045921898642</v>
      </c>
    </row>
    <row r="7" spans="1:4" ht="14.25">
      <c r="A7">
        <v>7</v>
      </c>
      <c r="B7">
        <v>2</v>
      </c>
      <c r="C7">
        <v>16</v>
      </c>
      <c r="D7">
        <v>-0.007619040908697</v>
      </c>
    </row>
    <row r="8" spans="1:4" ht="14.25">
      <c r="A8">
        <v>8</v>
      </c>
      <c r="B8">
        <v>3</v>
      </c>
      <c r="C8">
        <v>4</v>
      </c>
      <c r="D8">
        <v>-0.0063498037657313</v>
      </c>
    </row>
    <row r="9" spans="1:4" ht="14.25">
      <c r="A9">
        <v>9</v>
      </c>
      <c r="B9">
        <v>3</v>
      </c>
      <c r="C9">
        <v>16</v>
      </c>
      <c r="D9">
        <v>-0.086043093028588</v>
      </c>
    </row>
    <row r="10" spans="1:4" ht="14.25">
      <c r="A10">
        <v>10</v>
      </c>
      <c r="B10">
        <v>4</v>
      </c>
      <c r="C10">
        <v>7</v>
      </c>
      <c r="D10">
        <v>0.007532158152277</v>
      </c>
    </row>
    <row r="11" spans="1:4" ht="14.25">
      <c r="A11">
        <v>11</v>
      </c>
      <c r="B11">
        <v>4</v>
      </c>
      <c r="C11">
        <v>10</v>
      </c>
      <c r="D11">
        <v>-0.0079238375446139</v>
      </c>
    </row>
    <row r="12" spans="1:4" ht="14.25">
      <c r="A12">
        <v>12</v>
      </c>
      <c r="B12">
        <v>5</v>
      </c>
      <c r="C12">
        <v>9</v>
      </c>
      <c r="D12">
        <v>-0.00022888160778447</v>
      </c>
    </row>
    <row r="13" spans="1:4" ht="14.25">
      <c r="A13">
        <v>13</v>
      </c>
      <c r="B13">
        <v>5</v>
      </c>
      <c r="C13">
        <v>10</v>
      </c>
      <c r="D13">
        <v>-0.002645650148281</v>
      </c>
    </row>
    <row r="15" ht="14.25">
      <c r="A1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D44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4" ht="14.25">
      <c r="A1">
        <v>1</v>
      </c>
      <c r="B1">
        <v>0</v>
      </c>
      <c r="C1">
        <v>0</v>
      </c>
      <c r="D1">
        <v>1.0658070028513</v>
      </c>
    </row>
    <row r="2" spans="1:4" ht="14.25">
      <c r="A2">
        <v>2</v>
      </c>
      <c r="B2">
        <v>0</v>
      </c>
      <c r="C2">
        <v>0</v>
      </c>
      <c r="D2">
        <v>-15.732845290239</v>
      </c>
    </row>
    <row r="3" spans="1:4" ht="14.25">
      <c r="A3">
        <v>3</v>
      </c>
      <c r="B3">
        <v>0</v>
      </c>
      <c r="C3">
        <v>1</v>
      </c>
      <c r="D3">
        <v>20.944396974307</v>
      </c>
    </row>
    <row r="4" spans="1:4" ht="14.25">
      <c r="A4">
        <v>4</v>
      </c>
      <c r="B4">
        <v>0</v>
      </c>
      <c r="C4">
        <v>2</v>
      </c>
      <c r="D4">
        <v>-7.6867707878716</v>
      </c>
    </row>
    <row r="5" spans="1:4" ht="14.25">
      <c r="A5">
        <v>5</v>
      </c>
      <c r="B5">
        <v>0</v>
      </c>
      <c r="C5">
        <v>7</v>
      </c>
      <c r="D5">
        <v>2.6185947787954</v>
      </c>
    </row>
    <row r="6" spans="1:4" ht="14.25">
      <c r="A6">
        <v>6</v>
      </c>
      <c r="B6">
        <v>0</v>
      </c>
      <c r="C6">
        <v>10</v>
      </c>
      <c r="D6">
        <v>-2.808078114862</v>
      </c>
    </row>
    <row r="7" spans="1:4" ht="14.25">
      <c r="A7">
        <v>7</v>
      </c>
      <c r="B7">
        <v>0</v>
      </c>
      <c r="C7">
        <v>12</v>
      </c>
      <c r="D7">
        <v>1.2053369696517</v>
      </c>
    </row>
    <row r="8" spans="1:4" ht="14.25">
      <c r="A8">
        <v>8</v>
      </c>
      <c r="B8">
        <v>0</v>
      </c>
      <c r="C8">
        <v>23</v>
      </c>
      <c r="D8">
        <v>-0.0084566812812502</v>
      </c>
    </row>
    <row r="9" spans="1:4" ht="14.25">
      <c r="A9">
        <v>9</v>
      </c>
      <c r="B9">
        <v>1</v>
      </c>
      <c r="C9">
        <v>2</v>
      </c>
      <c r="D9">
        <v>-1.2654315477714</v>
      </c>
    </row>
    <row r="10" spans="1:4" ht="14.25">
      <c r="A10">
        <v>10</v>
      </c>
      <c r="B10">
        <v>1</v>
      </c>
      <c r="C10">
        <v>6</v>
      </c>
      <c r="D10">
        <v>-1.1524407806681</v>
      </c>
    </row>
    <row r="11" spans="1:4" ht="14.25">
      <c r="A11">
        <v>11</v>
      </c>
      <c r="B11">
        <v>1</v>
      </c>
      <c r="C11">
        <v>15</v>
      </c>
      <c r="D11">
        <v>0.88521043984318</v>
      </c>
    </row>
    <row r="12" spans="1:4" ht="14.25">
      <c r="A12">
        <v>12</v>
      </c>
      <c r="B12">
        <v>1</v>
      </c>
      <c r="C12" t="s">
        <v>14</v>
      </c>
      <c r="D12">
        <v>-0.64207765181607</v>
      </c>
    </row>
    <row r="13" spans="1:4" ht="14.25">
      <c r="A13">
        <v>13</v>
      </c>
      <c r="B13">
        <v>2</v>
      </c>
      <c r="C13">
        <v>0</v>
      </c>
      <c r="D13">
        <v>0.38493460186671</v>
      </c>
    </row>
    <row r="14" spans="1:4" ht="14.25">
      <c r="A14">
        <v>14</v>
      </c>
      <c r="B14">
        <v>2</v>
      </c>
      <c r="C14" t="s">
        <v>15</v>
      </c>
      <c r="D14">
        <v>-0.85214708824206</v>
      </c>
    </row>
    <row r="15" spans="1:4" ht="14.25">
      <c r="A15">
        <v>15</v>
      </c>
      <c r="B15">
        <v>2</v>
      </c>
      <c r="C15">
        <v>6</v>
      </c>
      <c r="D15">
        <v>4.8972281541877</v>
      </c>
    </row>
    <row r="16" spans="1:4" ht="14.25">
      <c r="A16">
        <v>16</v>
      </c>
      <c r="B16">
        <v>2</v>
      </c>
      <c r="C16">
        <v>7</v>
      </c>
      <c r="D16">
        <v>-3.0502617256965</v>
      </c>
    </row>
    <row r="17" spans="1:4" ht="14.25">
      <c r="A17">
        <v>17</v>
      </c>
      <c r="B17">
        <v>2</v>
      </c>
      <c r="C17">
        <v>22</v>
      </c>
      <c r="D17">
        <v>0.039420536879154</v>
      </c>
    </row>
    <row r="18" spans="1:4" ht="14.25">
      <c r="A18">
        <v>18</v>
      </c>
      <c r="B18">
        <v>2</v>
      </c>
      <c r="C18">
        <v>26</v>
      </c>
      <c r="D18">
        <v>0.12558408424308</v>
      </c>
    </row>
    <row r="19" spans="1:4" ht="14.25">
      <c r="A19">
        <v>19</v>
      </c>
      <c r="B19">
        <v>3</v>
      </c>
      <c r="C19" t="s">
        <v>16</v>
      </c>
      <c r="D19">
        <v>-0.2799932969871</v>
      </c>
    </row>
    <row r="20" spans="1:4" ht="14.25">
      <c r="A20">
        <v>20</v>
      </c>
      <c r="B20">
        <v>3</v>
      </c>
      <c r="C20">
        <v>2</v>
      </c>
      <c r="D20">
        <v>1.389979956946</v>
      </c>
    </row>
    <row r="21" spans="1:4" ht="14.25">
      <c r="A21">
        <v>21</v>
      </c>
      <c r="B21">
        <v>3</v>
      </c>
      <c r="C21">
        <v>4</v>
      </c>
      <c r="D21">
        <v>-2.018991502357</v>
      </c>
    </row>
    <row r="22" spans="1:4" ht="14.25">
      <c r="A22">
        <v>22</v>
      </c>
      <c r="B22">
        <v>3</v>
      </c>
      <c r="C22">
        <v>16</v>
      </c>
      <c r="D22">
        <v>-0.0082147637173963</v>
      </c>
    </row>
    <row r="23" spans="1:4" ht="14.25">
      <c r="A23">
        <v>23</v>
      </c>
      <c r="B23">
        <v>3</v>
      </c>
      <c r="C23">
        <v>26</v>
      </c>
      <c r="D23">
        <v>-0.47596035734923</v>
      </c>
    </row>
    <row r="24" spans="1:4" ht="14.25">
      <c r="A24">
        <v>24</v>
      </c>
      <c r="B24">
        <v>4</v>
      </c>
      <c r="C24">
        <v>0</v>
      </c>
      <c r="D24">
        <v>0.0439840744735</v>
      </c>
    </row>
    <row r="25" spans="1:4" ht="14.25">
      <c r="A25">
        <v>25</v>
      </c>
      <c r="B25">
        <v>4</v>
      </c>
      <c r="C25">
        <v>2</v>
      </c>
      <c r="D25">
        <v>-0.44476435428739</v>
      </c>
    </row>
    <row r="26" spans="1:4" ht="14.25">
      <c r="A26">
        <v>26</v>
      </c>
      <c r="B26">
        <v>4</v>
      </c>
      <c r="C26">
        <v>4</v>
      </c>
      <c r="D26">
        <v>0.90572070719733</v>
      </c>
    </row>
    <row r="27" spans="1:4" ht="14.25">
      <c r="A27">
        <v>27</v>
      </c>
      <c r="B27">
        <v>4</v>
      </c>
      <c r="C27">
        <v>26</v>
      </c>
      <c r="D27">
        <v>0.70522450087967</v>
      </c>
    </row>
    <row r="28" spans="1:4" ht="14.25">
      <c r="A28">
        <v>28</v>
      </c>
      <c r="B28">
        <v>5</v>
      </c>
      <c r="C28">
        <v>1</v>
      </c>
      <c r="D28">
        <v>0.10770512626332</v>
      </c>
    </row>
    <row r="29" spans="1:4" ht="14.25">
      <c r="A29">
        <v>29</v>
      </c>
      <c r="B29">
        <v>5</v>
      </c>
      <c r="C29">
        <v>3</v>
      </c>
      <c r="D29">
        <v>-0.32913623258954</v>
      </c>
    </row>
    <row r="30" spans="1:4" ht="14.25">
      <c r="A30">
        <v>30</v>
      </c>
      <c r="B30">
        <v>5</v>
      </c>
      <c r="C30">
        <v>26</v>
      </c>
      <c r="D30">
        <v>-0.50871062041158</v>
      </c>
    </row>
    <row r="31" spans="1:4" ht="14.25">
      <c r="A31">
        <v>31</v>
      </c>
      <c r="B31">
        <v>6</v>
      </c>
      <c r="C31">
        <v>0</v>
      </c>
      <c r="D31">
        <v>-0.022175400873096</v>
      </c>
    </row>
    <row r="32" spans="1:4" ht="14.25">
      <c r="A32">
        <v>32</v>
      </c>
      <c r="B32">
        <v>6</v>
      </c>
      <c r="C32">
        <v>2</v>
      </c>
      <c r="D32">
        <v>0.094260751665092</v>
      </c>
    </row>
    <row r="33" spans="1:4" ht="14.25">
      <c r="A33">
        <v>33</v>
      </c>
      <c r="B33">
        <v>6</v>
      </c>
      <c r="C33">
        <v>26</v>
      </c>
      <c r="D33">
        <v>0.16436278447961</v>
      </c>
    </row>
    <row r="34" spans="1:4" ht="14.25">
      <c r="A34">
        <v>34</v>
      </c>
      <c r="B34">
        <v>7</v>
      </c>
      <c r="C34">
        <v>2</v>
      </c>
      <c r="D34">
        <v>-0.013503372241348</v>
      </c>
    </row>
    <row r="35" spans="1:4" ht="14.25">
      <c r="A35">
        <v>35</v>
      </c>
      <c r="B35">
        <v>8</v>
      </c>
      <c r="C35">
        <v>26</v>
      </c>
      <c r="D35">
        <v>-0.014834345352472</v>
      </c>
    </row>
    <row r="36" spans="1:4" ht="14.25">
      <c r="A36">
        <v>36</v>
      </c>
      <c r="B36">
        <v>9</v>
      </c>
      <c r="C36">
        <v>2</v>
      </c>
      <c r="D36">
        <v>0.00057922953628084</v>
      </c>
    </row>
    <row r="37" spans="1:4" ht="14.25">
      <c r="A37">
        <v>37</v>
      </c>
      <c r="B37">
        <v>9</v>
      </c>
      <c r="C37">
        <v>26</v>
      </c>
      <c r="D37">
        <v>0.0032308904703711</v>
      </c>
    </row>
    <row r="38" spans="1:4" ht="14.25">
      <c r="A38">
        <v>38</v>
      </c>
      <c r="B38">
        <v>10</v>
      </c>
      <c r="C38">
        <v>0</v>
      </c>
      <c r="D38">
        <v>8.0964802996215E-05</v>
      </c>
    </row>
    <row r="39" spans="1:4" ht="14.25">
      <c r="A39">
        <v>39</v>
      </c>
      <c r="B39">
        <v>10</v>
      </c>
      <c r="C39">
        <v>1</v>
      </c>
      <c r="D39">
        <v>-0.00016557679795037</v>
      </c>
    </row>
    <row r="40" spans="1:4" ht="14.25">
      <c r="A40">
        <v>40</v>
      </c>
      <c r="B40">
        <v>11</v>
      </c>
      <c r="C40">
        <v>26</v>
      </c>
      <c r="D40">
        <v>-4.4923899061815E-05</v>
      </c>
    </row>
    <row r="42" spans="1:4" ht="14.25">
      <c r="A42" t="s">
        <v>0</v>
      </c>
      <c r="B42" t="s">
        <v>17</v>
      </c>
      <c r="C42" t="s">
        <v>18</v>
      </c>
      <c r="D42" t="s">
        <v>19</v>
      </c>
    </row>
    <row r="44" ht="14.25">
      <c r="A4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B13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2" ht="14.25">
      <c r="A1">
        <v>1</v>
      </c>
      <c r="B1">
        <v>1167.0521452767</v>
      </c>
    </row>
    <row r="2" spans="1:2" ht="14.25">
      <c r="A2">
        <v>2</v>
      </c>
      <c r="B2">
        <v>-724213.16703206</v>
      </c>
    </row>
    <row r="3" spans="1:2" ht="14.25">
      <c r="A3">
        <v>3</v>
      </c>
      <c r="B3">
        <v>-17.073846940092</v>
      </c>
    </row>
    <row r="4" spans="1:2" ht="14.25">
      <c r="A4">
        <v>4</v>
      </c>
      <c r="B4">
        <v>12020.82470247</v>
      </c>
    </row>
    <row r="5" spans="1:2" ht="14.25">
      <c r="A5">
        <v>5</v>
      </c>
      <c r="B5">
        <v>-3232555.0322333</v>
      </c>
    </row>
    <row r="6" spans="1:2" ht="14.25">
      <c r="A6">
        <v>6</v>
      </c>
      <c r="B6">
        <v>14.91510861353</v>
      </c>
    </row>
    <row r="7" spans="1:2" ht="14.25">
      <c r="A7">
        <v>7</v>
      </c>
      <c r="B7">
        <v>-4823.2657361591</v>
      </c>
    </row>
    <row r="8" spans="1:2" ht="14.25">
      <c r="A8">
        <v>8</v>
      </c>
      <c r="B8">
        <v>405113.40542057</v>
      </c>
    </row>
    <row r="9" spans="1:2" ht="14.25">
      <c r="A9">
        <v>9</v>
      </c>
      <c r="B9">
        <v>-0.23855557567849</v>
      </c>
    </row>
    <row r="10" spans="1:2" ht="14.25">
      <c r="A10">
        <v>10</v>
      </c>
      <c r="B10">
        <v>650.17534844798</v>
      </c>
    </row>
    <row r="13" ht="14.25">
      <c r="A1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U82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3.7109375" style="142" customWidth="1"/>
    <col min="2" max="2" width="8.00390625" style="142" customWidth="1"/>
    <col min="3" max="3" width="12.8515625" style="142" customWidth="1"/>
    <col min="4" max="4" width="9.8515625" style="142" customWidth="1"/>
    <col min="5" max="5" width="8.140625" style="143" customWidth="1"/>
    <col min="6" max="6" width="34.28125" style="142" customWidth="1"/>
    <col min="7" max="7" width="15.28125" style="142" bestFit="1" customWidth="1"/>
    <col min="8" max="10" width="8.00390625" style="142" customWidth="1"/>
    <col min="11" max="11" width="8.7109375" style="142" customWidth="1"/>
    <col min="12" max="18" width="8.00390625" style="142" customWidth="1"/>
    <col min="19" max="19" width="8.57421875" style="142" customWidth="1"/>
    <col min="20" max="16384" width="8.00390625" style="142" customWidth="1"/>
  </cols>
  <sheetData>
    <row r="1" ht="15">
      <c r="G1" s="567">
        <v>3043.1</v>
      </c>
    </row>
    <row r="2" spans="2:7" ht="15">
      <c r="B2" s="141" t="s">
        <v>301</v>
      </c>
      <c r="G2" s="567" t="s">
        <v>54</v>
      </c>
    </row>
    <row r="3" spans="2:7" ht="15">
      <c r="B3" s="122" t="s">
        <v>745</v>
      </c>
      <c r="G3" s="471" t="s">
        <v>54</v>
      </c>
    </row>
    <row r="4" spans="2:13" ht="15" thickBot="1">
      <c r="B4" s="122"/>
      <c r="G4" s="471"/>
      <c r="M4" s="362" t="str">
        <f>'Index of functions'!O2</f>
        <v>Rev. cjc 01.06.2016</v>
      </c>
    </row>
    <row r="5" spans="2:13" ht="15">
      <c r="B5" s="144" t="s">
        <v>302</v>
      </c>
      <c r="C5" s="145"/>
      <c r="D5" s="145"/>
      <c r="E5" s="146"/>
      <c r="F5" s="145"/>
      <c r="G5" s="147"/>
      <c r="H5" s="145"/>
      <c r="I5" s="145"/>
      <c r="J5" s="145"/>
      <c r="K5" s="145"/>
      <c r="L5" s="145"/>
      <c r="M5" s="148"/>
    </row>
    <row r="6" spans="2:13" ht="15">
      <c r="B6" s="149" t="s">
        <v>303</v>
      </c>
      <c r="C6" s="150"/>
      <c r="D6" s="150"/>
      <c r="E6" s="151"/>
      <c r="F6" s="150"/>
      <c r="G6" s="152" t="s">
        <v>304</v>
      </c>
      <c r="H6" s="150"/>
      <c r="I6" s="150"/>
      <c r="J6" s="150"/>
      <c r="K6" s="150"/>
      <c r="L6" s="150"/>
      <c r="M6" s="153"/>
    </row>
    <row r="7" spans="2:13" ht="15.75">
      <c r="B7" s="154" t="s">
        <v>305</v>
      </c>
      <c r="C7" s="155"/>
      <c r="D7" s="155"/>
      <c r="E7" s="156"/>
      <c r="F7" s="157" t="s">
        <v>185</v>
      </c>
      <c r="G7" s="158">
        <v>350</v>
      </c>
      <c r="H7" s="159" t="s">
        <v>36</v>
      </c>
      <c r="I7" s="94" t="s">
        <v>306</v>
      </c>
      <c r="J7" s="94" t="s">
        <v>307</v>
      </c>
      <c r="K7" s="94"/>
      <c r="L7" s="94"/>
      <c r="M7" s="153"/>
    </row>
    <row r="8" spans="2:19" ht="19.5">
      <c r="B8" s="160" t="s">
        <v>308</v>
      </c>
      <c r="C8" s="161"/>
      <c r="D8" s="161"/>
      <c r="E8" s="162"/>
      <c r="F8" s="163" t="s">
        <v>181</v>
      </c>
      <c r="G8" s="164">
        <v>61</v>
      </c>
      <c r="H8" s="165" t="s">
        <v>50</v>
      </c>
      <c r="I8" s="94" t="s">
        <v>309</v>
      </c>
      <c r="J8" s="166" t="s">
        <v>310</v>
      </c>
      <c r="L8" s="152"/>
      <c r="M8" s="153"/>
      <c r="O8" s="142" t="s">
        <v>30</v>
      </c>
      <c r="Q8" s="142" t="s">
        <v>311</v>
      </c>
      <c r="R8" s="142">
        <v>220.64</v>
      </c>
      <c r="S8" s="142" t="s">
        <v>50</v>
      </c>
    </row>
    <row r="9" spans="2:20" ht="15.75">
      <c r="B9" s="167"/>
      <c r="C9" s="150"/>
      <c r="D9" s="150"/>
      <c r="E9" s="151"/>
      <c r="F9" s="150"/>
      <c r="G9" s="150"/>
      <c r="H9" s="150"/>
      <c r="I9" s="94" t="s">
        <v>309</v>
      </c>
      <c r="J9" s="168">
        <v>276.62988111407356</v>
      </c>
      <c r="K9" s="152" t="s">
        <v>36</v>
      </c>
      <c r="L9" s="150"/>
      <c r="M9" s="153"/>
      <c r="S9" s="169" t="s">
        <v>312</v>
      </c>
      <c r="T9" s="170">
        <v>61</v>
      </c>
    </row>
    <row r="10" spans="2:16" ht="15">
      <c r="B10" s="171" t="s">
        <v>313</v>
      </c>
      <c r="C10" s="172"/>
      <c r="D10" s="172"/>
      <c r="E10" s="173"/>
      <c r="F10" s="173" t="s">
        <v>54</v>
      </c>
      <c r="G10" s="173" t="s">
        <v>314</v>
      </c>
      <c r="H10" s="173" t="s">
        <v>315</v>
      </c>
      <c r="I10" s="173" t="s">
        <v>316</v>
      </c>
      <c r="J10" s="173" t="s">
        <v>317</v>
      </c>
      <c r="K10" s="173" t="s">
        <v>318</v>
      </c>
      <c r="L10" s="173" t="s">
        <v>319</v>
      </c>
      <c r="M10" s="153"/>
      <c r="N10" s="142">
        <v>350</v>
      </c>
      <c r="P10" s="142" t="s">
        <v>320</v>
      </c>
    </row>
    <row r="11" spans="2:18" ht="19.5">
      <c r="B11" s="174" t="s">
        <v>321</v>
      </c>
      <c r="C11" s="175"/>
      <c r="D11" s="175" t="s">
        <v>41</v>
      </c>
      <c r="E11" s="176" t="s">
        <v>322</v>
      </c>
      <c r="F11" s="177" t="s">
        <v>207</v>
      </c>
      <c r="G11" s="178">
        <f>H2O_DynViscosity_t_p(G7,G8)</f>
        <v>2.2101898863212436E-05</v>
      </c>
      <c r="H11" s="179"/>
      <c r="I11" s="179"/>
      <c r="J11" s="179"/>
      <c r="K11" s="179"/>
      <c r="L11" s="180"/>
      <c r="M11" s="181"/>
      <c r="P11" s="142" t="s">
        <v>323</v>
      </c>
      <c r="Q11" s="142">
        <v>374</v>
      </c>
      <c r="R11" s="142" t="s">
        <v>36</v>
      </c>
    </row>
    <row r="12" spans="2:20" ht="15">
      <c r="B12" s="174" t="s">
        <v>324</v>
      </c>
      <c r="C12" s="175"/>
      <c r="D12" s="175" t="s">
        <v>195</v>
      </c>
      <c r="E12" s="182" t="s">
        <v>325</v>
      </c>
      <c r="F12" s="183" t="s">
        <v>197</v>
      </c>
      <c r="G12" s="184">
        <f>H2O_Enthalpy_t_p(G7,G8)</f>
        <v>3041.231290140994</v>
      </c>
      <c r="H12" s="185">
        <f>H2O_Enthalpy_t_s(G7,G13)</f>
        <v>3041.229607371079</v>
      </c>
      <c r="I12" s="179"/>
      <c r="J12" s="185">
        <f>H2O_Enthalpy_p_s(G8,G13)</f>
        <v>3041.2337377819335</v>
      </c>
      <c r="K12" s="179" t="s">
        <v>54</v>
      </c>
      <c r="L12" s="180"/>
      <c r="M12" s="181"/>
      <c r="N12" s="142">
        <v>300</v>
      </c>
      <c r="T12" s="142">
        <v>15.55</v>
      </c>
    </row>
    <row r="13" spans="2:13" ht="15">
      <c r="B13" s="174" t="s">
        <v>326</v>
      </c>
      <c r="C13" s="175"/>
      <c r="D13" s="186" t="s">
        <v>327</v>
      </c>
      <c r="E13" s="182" t="s">
        <v>328</v>
      </c>
      <c r="F13" s="187" t="s">
        <v>190</v>
      </c>
      <c r="G13" s="188">
        <f>H2O_Entropy_t_p(G7,G8)</f>
        <v>6.324641119500155</v>
      </c>
      <c r="H13" s="179" t="s">
        <v>54</v>
      </c>
      <c r="I13" s="179"/>
      <c r="J13" s="179" t="s">
        <v>54</v>
      </c>
      <c r="K13" s="189">
        <f>H2O_Entropy_p_h(G8,G12)</f>
        <v>6.324657948911973</v>
      </c>
      <c r="L13" s="180"/>
      <c r="M13" s="181"/>
    </row>
    <row r="14" spans="2:13" ht="15">
      <c r="B14" s="174" t="s">
        <v>329</v>
      </c>
      <c r="C14" s="175"/>
      <c r="D14" s="175" t="s">
        <v>330</v>
      </c>
      <c r="E14" s="182" t="s">
        <v>331</v>
      </c>
      <c r="F14" s="187" t="s">
        <v>236</v>
      </c>
      <c r="G14" s="190">
        <f>H2O_HeatConductivity_t_p(G7,G8)</f>
        <v>0.05799234814948536</v>
      </c>
      <c r="H14" s="179"/>
      <c r="I14" s="179"/>
      <c r="J14" s="179"/>
      <c r="K14" s="179"/>
      <c r="L14" s="180"/>
      <c r="M14" s="181"/>
    </row>
    <row r="15" spans="2:14" ht="15">
      <c r="B15" s="174" t="s">
        <v>332</v>
      </c>
      <c r="C15" s="175"/>
      <c r="D15" s="186" t="s">
        <v>333</v>
      </c>
      <c r="E15" s="176" t="s">
        <v>334</v>
      </c>
      <c r="F15" s="191" t="s">
        <v>335</v>
      </c>
      <c r="G15" s="192">
        <f>H2O_Kappa_t_p(G7,G8)</f>
        <v>1.2831404519538963</v>
      </c>
      <c r="H15" s="179"/>
      <c r="I15" s="179"/>
      <c r="J15" s="179"/>
      <c r="K15" s="196">
        <f>H2O_KappaUp_p_h(G8,G12)</f>
        <v>1.2838680410843695</v>
      </c>
      <c r="L15" s="180"/>
      <c r="M15" s="181"/>
      <c r="N15" s="142">
        <v>200</v>
      </c>
    </row>
    <row r="16" spans="2:21" ht="15.75">
      <c r="B16" s="174" t="s">
        <v>336</v>
      </c>
      <c r="C16" s="175"/>
      <c r="D16" s="186" t="s">
        <v>333</v>
      </c>
      <c r="E16" s="176" t="s">
        <v>337</v>
      </c>
      <c r="F16" s="193" t="s">
        <v>251</v>
      </c>
      <c r="G16" s="192">
        <f>H2O_KappaDown_p_h(G8,G12)</f>
        <v>1.28241340046462</v>
      </c>
      <c r="H16" s="179"/>
      <c r="I16" s="179"/>
      <c r="J16" s="179"/>
      <c r="K16" s="195">
        <f>H2O_KappaDown_p_h(G8,G12)</f>
        <v>1.28241340046462</v>
      </c>
      <c r="L16" s="180"/>
      <c r="M16" s="181"/>
      <c r="U16" s="170">
        <v>1</v>
      </c>
    </row>
    <row r="17" spans="2:13" ht="15.75">
      <c r="B17" s="174" t="s">
        <v>338</v>
      </c>
      <c r="C17" s="175"/>
      <c r="D17" s="186" t="s">
        <v>333</v>
      </c>
      <c r="E17" s="176" t="s">
        <v>339</v>
      </c>
      <c r="F17" s="193" t="s">
        <v>245</v>
      </c>
      <c r="G17" s="192">
        <f>H2O_KappaUp_p_h(G8,G12)</f>
        <v>1.2838680410843695</v>
      </c>
      <c r="H17" s="179"/>
      <c r="I17" s="179"/>
      <c r="J17" s="179"/>
      <c r="K17" s="195">
        <f>H2O_KappaUp_p_h(G8,G12)</f>
        <v>1.2838680410843695</v>
      </c>
      <c r="L17" s="180"/>
      <c r="M17" s="181"/>
    </row>
    <row r="18" spans="2:14" ht="15">
      <c r="B18" s="174" t="s">
        <v>340</v>
      </c>
      <c r="C18" s="175"/>
      <c r="D18" s="186" t="s">
        <v>333</v>
      </c>
      <c r="E18" s="182" t="s">
        <v>341</v>
      </c>
      <c r="F18" s="191" t="s">
        <v>342</v>
      </c>
      <c r="G18" s="196">
        <f>H2O_Prandtl_t_p(G7,G8)</f>
        <v>1.0941698888493012</v>
      </c>
      <c r="H18" s="179"/>
      <c r="I18" s="179"/>
      <c r="J18" s="179"/>
      <c r="K18" s="179"/>
      <c r="L18" s="180"/>
      <c r="M18" s="181"/>
      <c r="N18" s="197"/>
    </row>
    <row r="19" spans="2:14" ht="15">
      <c r="B19" s="174" t="s">
        <v>308</v>
      </c>
      <c r="C19" s="175"/>
      <c r="D19" s="175" t="s">
        <v>343</v>
      </c>
      <c r="E19" s="182"/>
      <c r="F19" s="198"/>
      <c r="G19" s="194"/>
      <c r="H19" s="195">
        <f>H2O_Pressure_t_s(G7,G13)</f>
        <v>61.0000019358672</v>
      </c>
      <c r="I19" s="195">
        <f>H2O_Pressure_t_v(G7,G22)</f>
        <v>60.99972200148804</v>
      </c>
      <c r="J19" s="179" t="s">
        <v>54</v>
      </c>
      <c r="K19" s="179" t="s">
        <v>54</v>
      </c>
      <c r="L19" s="180" t="s">
        <v>54</v>
      </c>
      <c r="M19" s="181"/>
      <c r="N19" s="142">
        <v>100</v>
      </c>
    </row>
    <row r="20" spans="2:20" ht="15">
      <c r="B20" s="174" t="s">
        <v>344</v>
      </c>
      <c r="C20" s="175"/>
      <c r="D20" s="175" t="s">
        <v>262</v>
      </c>
      <c r="E20" s="182" t="s">
        <v>345</v>
      </c>
      <c r="F20" s="183" t="s">
        <v>272</v>
      </c>
      <c r="G20" s="199">
        <f>H2O_SonicVelocity_t_p(G7,G8)</f>
        <v>569.6209828850567</v>
      </c>
      <c r="H20" s="179"/>
      <c r="I20" s="179"/>
      <c r="J20" s="179"/>
      <c r="K20" s="179"/>
      <c r="L20" s="180"/>
      <c r="M20" s="181"/>
      <c r="T20" s="142" t="s">
        <v>346</v>
      </c>
    </row>
    <row r="21" spans="2:21" ht="15">
      <c r="B21" s="200" t="s">
        <v>347</v>
      </c>
      <c r="C21" s="175"/>
      <c r="D21" s="175" t="s">
        <v>327</v>
      </c>
      <c r="E21" s="182" t="s">
        <v>348</v>
      </c>
      <c r="F21" s="191" t="s">
        <v>276</v>
      </c>
      <c r="G21" s="192">
        <f>H2O_SpecificHeat_Cp_t_p(G7,G8)</f>
        <v>2.8709515649104564</v>
      </c>
      <c r="H21" s="179"/>
      <c r="I21" s="179"/>
      <c r="J21" s="179"/>
      <c r="K21" s="179"/>
      <c r="L21" s="180"/>
      <c r="M21" s="181"/>
      <c r="P21" s="152" t="s">
        <v>349</v>
      </c>
      <c r="U21" s="170"/>
    </row>
    <row r="22" spans="2:13" ht="15">
      <c r="B22" s="174" t="s">
        <v>350</v>
      </c>
      <c r="C22" s="175"/>
      <c r="D22" s="186" t="s">
        <v>351</v>
      </c>
      <c r="E22" s="182" t="s">
        <v>352</v>
      </c>
      <c r="F22" s="201" t="s">
        <v>353</v>
      </c>
      <c r="G22" s="192">
        <f>H2O_SpecVolume_t_p(G7,G8)</f>
        <v>0.04145404778500442</v>
      </c>
      <c r="H22" s="179"/>
      <c r="I22" s="179"/>
      <c r="J22" s="179" t="s">
        <v>54</v>
      </c>
      <c r="K22" s="195">
        <f>H2O_SpecVolume_p_h(G8,G12)</f>
        <v>0.041454445250771785</v>
      </c>
      <c r="L22" s="180" t="s">
        <v>54</v>
      </c>
      <c r="M22" s="181"/>
    </row>
    <row r="23" spans="2:15" ht="15">
      <c r="B23" s="174" t="s">
        <v>354</v>
      </c>
      <c r="C23" s="175"/>
      <c r="D23" s="175" t="s">
        <v>279</v>
      </c>
      <c r="E23" s="198" t="s">
        <v>355</v>
      </c>
      <c r="G23" s="194"/>
      <c r="H23" s="179"/>
      <c r="I23" s="179"/>
      <c r="J23" s="179"/>
      <c r="K23" s="179"/>
      <c r="L23" s="180"/>
      <c r="M23" s="181"/>
      <c r="N23" s="202"/>
      <c r="O23" s="150"/>
    </row>
    <row r="24" spans="2:14" s="207" customFormat="1" ht="15">
      <c r="B24" s="174" t="s">
        <v>305</v>
      </c>
      <c r="C24" s="175"/>
      <c r="D24" s="186" t="s">
        <v>356</v>
      </c>
      <c r="E24" s="203"/>
      <c r="F24" s="186"/>
      <c r="G24" s="194" t="s">
        <v>54</v>
      </c>
      <c r="H24" s="179" t="s">
        <v>54</v>
      </c>
      <c r="I24" s="179"/>
      <c r="J24" s="185">
        <f>H2O_Temperature_p_s(G8,G13)</f>
        <v>349.9999539505957</v>
      </c>
      <c r="K24" s="185">
        <f>H2O_Temperature_p_h(G8,G12)</f>
        <v>349.9996623373289</v>
      </c>
      <c r="L24" s="204">
        <f>H2O_Temperature_p_v(G8,G22)</f>
        <v>350.0000183914743</v>
      </c>
      <c r="M24" s="205" t="s">
        <v>54</v>
      </c>
      <c r="N24" s="206"/>
    </row>
    <row r="25" spans="2:14" ht="15" thickBot="1">
      <c r="B25" s="208"/>
      <c r="C25" s="209"/>
      <c r="D25" s="209"/>
      <c r="E25" s="210"/>
      <c r="F25" s="209"/>
      <c r="G25" s="209"/>
      <c r="H25" s="209"/>
      <c r="I25" s="209"/>
      <c r="J25" s="209"/>
      <c r="K25" s="209"/>
      <c r="L25" s="209"/>
      <c r="M25" s="211"/>
      <c r="N25" s="142" t="s">
        <v>54</v>
      </c>
    </row>
    <row r="27" spans="2:20" ht="15" thickBot="1">
      <c r="B27" s="212"/>
      <c r="S27" s="169" t="s">
        <v>312</v>
      </c>
      <c r="T27" s="170">
        <v>61</v>
      </c>
    </row>
    <row r="28" spans="2:16" ht="15">
      <c r="B28" s="144" t="s">
        <v>357</v>
      </c>
      <c r="C28" s="145"/>
      <c r="D28" s="145"/>
      <c r="E28" s="146"/>
      <c r="F28" s="145"/>
      <c r="G28" s="147"/>
      <c r="H28" s="145"/>
      <c r="I28" s="145"/>
      <c r="J28" s="145"/>
      <c r="K28" s="145"/>
      <c r="L28" s="145"/>
      <c r="M28" s="148"/>
      <c r="N28" s="142">
        <v>350</v>
      </c>
      <c r="P28" s="142" t="s">
        <v>54</v>
      </c>
    </row>
    <row r="29" spans="2:18" ht="18">
      <c r="B29" s="149" t="s">
        <v>303</v>
      </c>
      <c r="C29" s="150"/>
      <c r="D29" s="150"/>
      <c r="E29" s="151"/>
      <c r="F29" s="150"/>
      <c r="G29" s="152" t="s">
        <v>304</v>
      </c>
      <c r="H29" s="150"/>
      <c r="I29" s="150"/>
      <c r="J29" s="150"/>
      <c r="K29" s="150"/>
      <c r="L29" s="150"/>
      <c r="M29" s="153"/>
      <c r="P29" s="142" t="s">
        <v>323</v>
      </c>
      <c r="Q29" s="142">
        <v>374</v>
      </c>
      <c r="R29" s="142" t="s">
        <v>36</v>
      </c>
    </row>
    <row r="30" spans="2:20" ht="15.75">
      <c r="B30" s="154" t="s">
        <v>305</v>
      </c>
      <c r="C30" s="155"/>
      <c r="D30" s="155"/>
      <c r="E30" s="156"/>
      <c r="F30" s="157" t="s">
        <v>185</v>
      </c>
      <c r="G30" s="158">
        <v>200</v>
      </c>
      <c r="H30" s="159" t="s">
        <v>36</v>
      </c>
      <c r="I30" s="94" t="s">
        <v>306</v>
      </c>
      <c r="J30" s="213">
        <v>15.548802447307976</v>
      </c>
      <c r="K30" s="94" t="s">
        <v>50</v>
      </c>
      <c r="L30" s="94"/>
      <c r="M30" s="153"/>
      <c r="N30" s="142">
        <v>300</v>
      </c>
      <c r="T30" s="214">
        <f>J30</f>
        <v>15.548802447307976</v>
      </c>
    </row>
    <row r="31" spans="2:13" ht="15.75">
      <c r="B31" s="160" t="s">
        <v>308</v>
      </c>
      <c r="C31" s="161"/>
      <c r="D31" s="161"/>
      <c r="E31" s="162"/>
      <c r="F31" s="163" t="s">
        <v>181</v>
      </c>
      <c r="G31" s="164">
        <f>G8</f>
        <v>61</v>
      </c>
      <c r="H31" s="165" t="s">
        <v>50</v>
      </c>
      <c r="I31" s="94" t="s">
        <v>309</v>
      </c>
      <c r="J31" s="215">
        <v>276.62988111407356</v>
      </c>
      <c r="K31" s="152" t="s">
        <v>36</v>
      </c>
      <c r="L31" s="152"/>
      <c r="M31" s="153"/>
    </row>
    <row r="32" spans="2:13" ht="15">
      <c r="B32" s="167"/>
      <c r="C32" s="150"/>
      <c r="D32" s="150"/>
      <c r="E32" s="151"/>
      <c r="F32" s="150"/>
      <c r="G32" s="150"/>
      <c r="H32" s="150"/>
      <c r="I32" s="150"/>
      <c r="J32" s="150"/>
      <c r="K32" s="150"/>
      <c r="L32" s="150"/>
      <c r="M32" s="153"/>
    </row>
    <row r="33" spans="2:14" ht="15">
      <c r="B33" s="171" t="s">
        <v>313</v>
      </c>
      <c r="C33" s="172"/>
      <c r="D33" s="172"/>
      <c r="E33" s="173"/>
      <c r="F33" s="173" t="s">
        <v>54</v>
      </c>
      <c r="G33" s="173" t="s">
        <v>314</v>
      </c>
      <c r="H33" s="216" t="s">
        <v>358</v>
      </c>
      <c r="I33" s="217" t="s">
        <v>359</v>
      </c>
      <c r="J33" s="218" t="s">
        <v>360</v>
      </c>
      <c r="K33" s="218" t="s">
        <v>361</v>
      </c>
      <c r="L33" s="219" t="s">
        <v>362</v>
      </c>
      <c r="M33" s="153"/>
      <c r="N33" s="142">
        <v>200</v>
      </c>
    </row>
    <row r="34" spans="2:21" ht="15">
      <c r="B34" s="174" t="s">
        <v>321</v>
      </c>
      <c r="C34" s="175"/>
      <c r="D34" s="175" t="s">
        <v>41</v>
      </c>
      <c r="E34" s="176" t="s">
        <v>322</v>
      </c>
      <c r="F34" s="177" t="s">
        <v>207</v>
      </c>
      <c r="G34" s="220">
        <f>H2O_DynViscosity_t_p(G30,G31)</f>
        <v>0.00013545318972913754</v>
      </c>
      <c r="H34" s="179"/>
      <c r="I34" s="179"/>
      <c r="J34" s="179"/>
      <c r="K34" s="179"/>
      <c r="L34" s="180"/>
      <c r="M34" s="181"/>
      <c r="U34" s="170">
        <v>1</v>
      </c>
    </row>
    <row r="35" spans="2:13" ht="15">
      <c r="B35" s="174" t="s">
        <v>324</v>
      </c>
      <c r="C35" s="175"/>
      <c r="D35" s="175" t="s">
        <v>195</v>
      </c>
      <c r="E35" s="182" t="s">
        <v>325</v>
      </c>
      <c r="F35" s="183" t="s">
        <v>197</v>
      </c>
      <c r="G35" s="199">
        <f>H2O_Enthalpy_t_p(G30,G31)</f>
        <v>854.2588732771296</v>
      </c>
      <c r="H35" s="183">
        <f>H2O_Enthalpy_t_s(G30,G36)</f>
        <v>854.2658252588029</v>
      </c>
      <c r="I35" s="179"/>
      <c r="J35" s="183">
        <v>854.2527694308018</v>
      </c>
      <c r="K35" s="179" t="s">
        <v>54</v>
      </c>
      <c r="L35" s="180"/>
      <c r="M35" s="181"/>
    </row>
    <row r="36" spans="2:14" ht="15">
      <c r="B36" s="174" t="s">
        <v>326</v>
      </c>
      <c r="C36" s="175"/>
      <c r="D36" s="186" t="s">
        <v>327</v>
      </c>
      <c r="E36" s="182" t="s">
        <v>328</v>
      </c>
      <c r="F36" s="187" t="s">
        <v>190</v>
      </c>
      <c r="G36" s="189">
        <f>H2O_Entropy_t_p(G30,G31)</f>
        <v>2.32365602805492</v>
      </c>
      <c r="H36" s="179" t="s">
        <v>54</v>
      </c>
      <c r="I36" s="179"/>
      <c r="J36" s="179" t="s">
        <v>54</v>
      </c>
      <c r="K36" s="189">
        <f>H2O_Entropy_p_h(G31,G35)</f>
        <v>2.3236567784256414</v>
      </c>
      <c r="L36" s="180"/>
      <c r="M36" s="181"/>
      <c r="N36" s="197"/>
    </row>
    <row r="37" spans="2:14" ht="15">
      <c r="B37" s="174" t="s">
        <v>329</v>
      </c>
      <c r="C37" s="175"/>
      <c r="D37" s="175" t="s">
        <v>330</v>
      </c>
      <c r="E37" s="182" t="s">
        <v>331</v>
      </c>
      <c r="F37" s="187" t="s">
        <v>236</v>
      </c>
      <c r="G37" s="221">
        <f>H2O_HeatConductivity_t_p(G30,G31)</f>
        <v>0.6672943844578265</v>
      </c>
      <c r="H37" s="179"/>
      <c r="I37" s="179"/>
      <c r="J37" s="179"/>
      <c r="K37" s="179"/>
      <c r="L37" s="180"/>
      <c r="M37" s="181"/>
      <c r="N37" s="142">
        <v>100</v>
      </c>
    </row>
    <row r="38" spans="2:20" ht="15">
      <c r="B38" s="174" t="s">
        <v>332</v>
      </c>
      <c r="C38" s="175"/>
      <c r="D38" s="186" t="s">
        <v>333</v>
      </c>
      <c r="E38" s="176" t="s">
        <v>334</v>
      </c>
      <c r="F38" s="191" t="s">
        <v>335</v>
      </c>
      <c r="G38" s="199">
        <f>H2O_Kappa_t_p(G30,G31)</f>
        <v>272.72961068000524</v>
      </c>
      <c r="H38" s="185"/>
      <c r="I38" s="185"/>
      <c r="J38" s="185"/>
      <c r="K38" s="199">
        <f>H2O_Kappa_p_h(G31,G35)</f>
        <v>272.7295745381253</v>
      </c>
      <c r="L38" s="180"/>
      <c r="M38" s="181"/>
      <c r="T38" s="142" t="s">
        <v>346</v>
      </c>
    </row>
    <row r="39" spans="2:21" ht="15.75">
      <c r="B39" s="174" t="s">
        <v>336</v>
      </c>
      <c r="C39" s="175"/>
      <c r="D39" s="186" t="s">
        <v>333</v>
      </c>
      <c r="E39" s="176" t="s">
        <v>337</v>
      </c>
      <c r="F39" s="193"/>
      <c r="G39" s="194"/>
      <c r="H39" s="179"/>
      <c r="I39" s="179"/>
      <c r="J39" s="179"/>
      <c r="K39" s="185">
        <f>H2O_KappaDown_p_h(G31,G35)</f>
        <v>211.00349075280332</v>
      </c>
      <c r="L39" s="180"/>
      <c r="M39" s="181"/>
      <c r="P39" s="152" t="s">
        <v>349</v>
      </c>
      <c r="U39" s="170"/>
    </row>
    <row r="40" spans="2:13" ht="15.75">
      <c r="B40" s="174" t="s">
        <v>338</v>
      </c>
      <c r="C40" s="175"/>
      <c r="D40" s="186" t="s">
        <v>333</v>
      </c>
      <c r="E40" s="176" t="s">
        <v>339</v>
      </c>
      <c r="F40" s="193"/>
      <c r="G40" s="194"/>
      <c r="H40" s="179"/>
      <c r="I40" s="179"/>
      <c r="J40" s="179"/>
      <c r="K40" s="185">
        <f>H2O_KappaUp_p_h(G31,G35)</f>
        <v>334.45565832344727</v>
      </c>
      <c r="L40" s="180"/>
      <c r="M40" s="181"/>
    </row>
    <row r="41" spans="2:13" ht="15">
      <c r="B41" s="174" t="s">
        <v>340</v>
      </c>
      <c r="C41" s="175"/>
      <c r="D41" s="186" t="s">
        <v>333</v>
      </c>
      <c r="E41" s="182" t="s">
        <v>341</v>
      </c>
      <c r="F41" s="191" t="s">
        <v>342</v>
      </c>
      <c r="G41" s="196">
        <f>H2O_Prandtl_t_p(G30,G31)</f>
        <v>0.9069829405906855</v>
      </c>
      <c r="H41" s="179"/>
      <c r="I41" s="179"/>
      <c r="J41" s="179"/>
      <c r="K41" s="179"/>
      <c r="L41" s="180"/>
      <c r="M41" s="181"/>
    </row>
    <row r="42" spans="2:13" ht="15">
      <c r="B42" s="174" t="s">
        <v>308</v>
      </c>
      <c r="C42" s="175"/>
      <c r="D42" s="175" t="s">
        <v>343</v>
      </c>
      <c r="E42" s="182"/>
      <c r="F42" s="198"/>
      <c r="G42" s="179"/>
      <c r="H42" s="222">
        <v>61.00109834896166</v>
      </c>
      <c r="I42" s="222" t="s">
        <v>54</v>
      </c>
      <c r="J42" s="179" t="s">
        <v>54</v>
      </c>
      <c r="K42" s="179" t="s">
        <v>54</v>
      </c>
      <c r="L42" s="180" t="s">
        <v>54</v>
      </c>
      <c r="M42" s="181"/>
    </row>
    <row r="43" spans="2:13" ht="15">
      <c r="B43" s="174" t="s">
        <v>344</v>
      </c>
      <c r="C43" s="175"/>
      <c r="D43" s="175" t="s">
        <v>262</v>
      </c>
      <c r="E43" s="182" t="s">
        <v>345</v>
      </c>
      <c r="F43" s="183" t="s">
        <v>272</v>
      </c>
      <c r="G43" s="199">
        <f>H2O_SonicVelocity_t_p(G30,G31)</f>
        <v>1348.341321803308</v>
      </c>
      <c r="H43" s="179"/>
      <c r="I43" s="179"/>
      <c r="J43" s="179"/>
      <c r="K43" s="179"/>
      <c r="L43" s="180"/>
      <c r="M43" s="181"/>
    </row>
    <row r="44" spans="2:13" ht="15">
      <c r="B44" s="200" t="s">
        <v>347</v>
      </c>
      <c r="C44" s="175"/>
      <c r="D44" s="175" t="s">
        <v>327</v>
      </c>
      <c r="E44" s="182" t="s">
        <v>348</v>
      </c>
      <c r="F44" s="191" t="s">
        <v>276</v>
      </c>
      <c r="G44" s="189">
        <f>H2O_SpecificHeat_Cv_t_p(G30,G31)</f>
        <v>3.3136017355405922</v>
      </c>
      <c r="H44" s="179"/>
      <c r="I44" s="179"/>
      <c r="J44" s="179"/>
      <c r="K44" s="179"/>
      <c r="L44" s="180"/>
      <c r="M44" s="181"/>
    </row>
    <row r="45" spans="2:15" ht="15">
      <c r="B45" s="174" t="s">
        <v>350</v>
      </c>
      <c r="C45" s="175"/>
      <c r="D45" s="186" t="s">
        <v>351</v>
      </c>
      <c r="E45" s="182" t="s">
        <v>352</v>
      </c>
      <c r="F45" s="201" t="s">
        <v>353</v>
      </c>
      <c r="G45" s="223">
        <f>H2O_SpecVolume_t_p(G30,G31)</f>
        <v>0.0011519552698848476</v>
      </c>
      <c r="H45" s="179"/>
      <c r="I45" s="179"/>
      <c r="J45" s="179" t="s">
        <v>54</v>
      </c>
      <c r="K45" s="224">
        <f>H2O_SpecVolume_p_h(G31,G35)</f>
        <v>0.0011519553930258474</v>
      </c>
      <c r="L45" s="180" t="s">
        <v>54</v>
      </c>
      <c r="M45" s="181"/>
      <c r="N45" s="202"/>
      <c r="O45" s="150"/>
    </row>
    <row r="46" spans="2:14" ht="15">
      <c r="B46" s="174" t="s">
        <v>354</v>
      </c>
      <c r="C46" s="175"/>
      <c r="D46" s="175" t="s">
        <v>279</v>
      </c>
      <c r="E46" s="182"/>
      <c r="F46" s="225" t="s">
        <v>363</v>
      </c>
      <c r="G46" s="226">
        <f>Water_SurfaceTension_t(G30)</f>
        <v>0.037683525633797024</v>
      </c>
      <c r="H46" s="179"/>
      <c r="I46" s="179"/>
      <c r="J46" s="179"/>
      <c r="K46" s="179"/>
      <c r="L46" s="180"/>
      <c r="M46" s="181"/>
      <c r="N46" s="227"/>
    </row>
    <row r="47" spans="2:13" ht="15">
      <c r="B47" s="174" t="s">
        <v>305</v>
      </c>
      <c r="C47" s="175"/>
      <c r="D47" s="186" t="s">
        <v>356</v>
      </c>
      <c r="E47" s="203"/>
      <c r="F47" s="186"/>
      <c r="G47" s="194" t="s">
        <v>54</v>
      </c>
      <c r="H47" s="179" t="s">
        <v>54</v>
      </c>
      <c r="I47" s="179"/>
      <c r="J47" s="185">
        <f>H2O_Temperature_p_s(G31,G36)</f>
        <v>200.0004898708553</v>
      </c>
      <c r="K47" s="185">
        <f>H2O_Temperature_p_h(G31,G35)</f>
        <v>200.00000473448853</v>
      </c>
      <c r="L47" s="204">
        <f>H2O_Temperature_p_v(G31,G45)</f>
        <v>199.99477907739555</v>
      </c>
      <c r="M47" s="181"/>
    </row>
    <row r="48" spans="2:13" ht="15" thickBot="1">
      <c r="B48" s="208"/>
      <c r="C48" s="209"/>
      <c r="D48" s="209"/>
      <c r="E48" s="210"/>
      <c r="F48" s="209"/>
      <c r="G48" s="209"/>
      <c r="H48" s="209"/>
      <c r="I48" s="209"/>
      <c r="J48" s="209"/>
      <c r="K48" s="209"/>
      <c r="L48" s="209"/>
      <c r="M48" s="211"/>
    </row>
    <row r="50" ht="15" thickBot="1"/>
    <row r="51" spans="2:15" ht="15">
      <c r="B51" s="144" t="s">
        <v>364</v>
      </c>
      <c r="C51" s="145"/>
      <c r="D51" s="145"/>
      <c r="E51" s="146"/>
      <c r="F51" s="145"/>
      <c r="G51" s="145"/>
      <c r="H51" s="145"/>
      <c r="I51" s="145"/>
      <c r="J51" s="145"/>
      <c r="K51" s="145"/>
      <c r="L51" s="145"/>
      <c r="M51" s="148"/>
      <c r="O51" s="150"/>
    </row>
    <row r="52" spans="2:15" s="227" customFormat="1" ht="12.75">
      <c r="B52" s="228"/>
      <c r="C52" s="152"/>
      <c r="D52" s="152"/>
      <c r="E52" s="229"/>
      <c r="F52" s="152"/>
      <c r="G52" s="152"/>
      <c r="H52" s="152"/>
      <c r="I52" s="152"/>
      <c r="J52" s="152"/>
      <c r="K52" s="152"/>
      <c r="L52" s="152"/>
      <c r="M52" s="230"/>
      <c r="O52" s="152"/>
    </row>
    <row r="53" spans="2:15" s="227" customFormat="1" ht="12.75">
      <c r="B53" s="228" t="s">
        <v>365</v>
      </c>
      <c r="C53" s="152"/>
      <c r="D53" s="152"/>
      <c r="E53" s="152"/>
      <c r="F53" s="231"/>
      <c r="G53" s="232" t="s">
        <v>366</v>
      </c>
      <c r="H53" s="233"/>
      <c r="I53" s="234" t="s">
        <v>367</v>
      </c>
      <c r="J53" s="235"/>
      <c r="K53" s="233"/>
      <c r="L53" s="236"/>
      <c r="M53" s="230"/>
      <c r="O53" s="152"/>
    </row>
    <row r="54" spans="2:15" s="227" customFormat="1" ht="12.75">
      <c r="B54" s="237" t="s">
        <v>305</v>
      </c>
      <c r="C54" s="238"/>
      <c r="D54" s="239">
        <v>180</v>
      </c>
      <c r="E54" s="240" t="s">
        <v>36</v>
      </c>
      <c r="F54" s="241"/>
      <c r="G54" s="242"/>
      <c r="H54" s="243" t="s">
        <v>368</v>
      </c>
      <c r="I54" s="244">
        <f>H2O_SaturationPressure_t(D54)</f>
        <v>10.026345688120957</v>
      </c>
      <c r="J54" s="244" t="s">
        <v>50</v>
      </c>
      <c r="K54" s="243"/>
      <c r="L54" s="245"/>
      <c r="M54" s="230"/>
      <c r="O54" s="152"/>
    </row>
    <row r="55" spans="2:15" s="227" customFormat="1" ht="12.75">
      <c r="B55" s="246" t="s">
        <v>369</v>
      </c>
      <c r="C55" s="247"/>
      <c r="D55" s="248">
        <v>0.6</v>
      </c>
      <c r="E55" s="249" t="s">
        <v>370</v>
      </c>
      <c r="F55" s="250"/>
      <c r="G55" s="152"/>
      <c r="H55" s="152"/>
      <c r="I55" s="152"/>
      <c r="J55" s="152"/>
      <c r="K55" s="152"/>
      <c r="L55" s="152"/>
      <c r="M55" s="230"/>
      <c r="O55" s="152"/>
    </row>
    <row r="56" spans="2:15" s="227" customFormat="1" ht="12.75">
      <c r="B56" s="228" t="s">
        <v>308</v>
      </c>
      <c r="C56" s="152"/>
      <c r="D56" s="215">
        <f>SaturatedWaterPressure_t(D54)</f>
        <v>3.7755401134490967</v>
      </c>
      <c r="E56" s="152" t="s">
        <v>50</v>
      </c>
      <c r="F56" s="152"/>
      <c r="G56" s="577" t="s">
        <v>313</v>
      </c>
      <c r="H56" s="578"/>
      <c r="I56" s="578"/>
      <c r="J56" s="578"/>
      <c r="K56" s="578"/>
      <c r="L56" s="579"/>
      <c r="M56" s="230"/>
      <c r="O56" s="152"/>
    </row>
    <row r="57" spans="2:15" s="227" customFormat="1" ht="12.75">
      <c r="B57" s="228"/>
      <c r="C57" s="152"/>
      <c r="D57" s="152"/>
      <c r="E57" s="229"/>
      <c r="F57" s="152"/>
      <c r="G57" s="251" t="s">
        <v>371</v>
      </c>
      <c r="H57" s="252" t="s">
        <v>358</v>
      </c>
      <c r="I57" s="251" t="s">
        <v>372</v>
      </c>
      <c r="J57" s="251" t="s">
        <v>361</v>
      </c>
      <c r="K57" s="251" t="s">
        <v>360</v>
      </c>
      <c r="L57" s="253" t="s">
        <v>362</v>
      </c>
      <c r="M57" s="230"/>
      <c r="O57" s="152"/>
    </row>
    <row r="58" spans="2:15" s="227" customFormat="1" ht="12.75">
      <c r="B58" s="149" t="s">
        <v>324</v>
      </c>
      <c r="C58" s="254"/>
      <c r="D58" s="152" t="s">
        <v>195</v>
      </c>
      <c r="E58" s="152"/>
      <c r="F58" s="152" t="s">
        <v>373</v>
      </c>
      <c r="G58" s="255">
        <f>H2O_Enthalpy_t_x(D54,D55)</f>
        <v>1971.6068456823414</v>
      </c>
      <c r="H58" s="256"/>
      <c r="I58" s="255">
        <f>H2O_Enthalpy_p_x(I54,D55)</f>
        <v>1971.6068456823432</v>
      </c>
      <c r="J58" s="257" t="s">
        <v>39</v>
      </c>
      <c r="K58" s="255">
        <f>H2O_Enthalpy_p_s(I54,J59)</f>
        <v>1971.6068456823414</v>
      </c>
      <c r="L58" s="258"/>
      <c r="M58" s="230"/>
      <c r="O58" s="152"/>
    </row>
    <row r="59" spans="2:15" s="227" customFormat="1" ht="12.75">
      <c r="B59" s="149" t="s">
        <v>326</v>
      </c>
      <c r="C59" s="254"/>
      <c r="D59" s="259" t="s">
        <v>327</v>
      </c>
      <c r="E59" s="152"/>
      <c r="F59" s="152" t="s">
        <v>226</v>
      </c>
      <c r="G59" s="257"/>
      <c r="H59" s="256" t="s">
        <v>39</v>
      </c>
      <c r="I59" s="257"/>
      <c r="J59" s="260">
        <f>H2O_Entropy_p_h(I54,G58)</f>
        <v>4.806258341979614</v>
      </c>
      <c r="K59" s="257" t="s">
        <v>39</v>
      </c>
      <c r="L59" s="258"/>
      <c r="M59" s="230"/>
      <c r="O59" s="152"/>
    </row>
    <row r="60" spans="2:18" s="227" customFormat="1" ht="12.75">
      <c r="B60" s="149" t="s">
        <v>332</v>
      </c>
      <c r="C60" s="254"/>
      <c r="D60" s="259" t="s">
        <v>333</v>
      </c>
      <c r="E60" s="152"/>
      <c r="F60" s="152"/>
      <c r="G60" s="257"/>
      <c r="H60" s="256"/>
      <c r="I60" s="257"/>
      <c r="J60" s="261">
        <f>H2O_Kappa_p_h(I54,G58)</f>
        <v>1.068455857956268</v>
      </c>
      <c r="K60" s="257"/>
      <c r="L60" s="258"/>
      <c r="M60" s="230"/>
      <c r="O60" s="152"/>
      <c r="R60" s="262"/>
    </row>
    <row r="61" spans="2:15" s="227" customFormat="1" ht="12.75">
      <c r="B61" s="149" t="s">
        <v>336</v>
      </c>
      <c r="C61" s="254"/>
      <c r="D61" s="259" t="s">
        <v>333</v>
      </c>
      <c r="E61" s="152"/>
      <c r="F61" s="152"/>
      <c r="G61" s="257"/>
      <c r="H61" s="256"/>
      <c r="I61" s="257"/>
      <c r="J61" s="261">
        <f>H2O_KappaDown_p_h(I54,G58)</f>
        <v>1.0684790178204295</v>
      </c>
      <c r="K61" s="257"/>
      <c r="L61" s="258"/>
      <c r="M61" s="230"/>
      <c r="O61" s="152"/>
    </row>
    <row r="62" spans="2:15" s="227" customFormat="1" ht="12.75">
      <c r="B62" s="149" t="s">
        <v>338</v>
      </c>
      <c r="C62" s="254"/>
      <c r="D62" s="259" t="s">
        <v>333</v>
      </c>
      <c r="E62" s="152"/>
      <c r="F62" s="152"/>
      <c r="G62" s="257"/>
      <c r="H62" s="256"/>
      <c r="I62" s="257"/>
      <c r="J62" s="261">
        <f>H2O_KappaUp_p_h(I54,G58)</f>
        <v>1.0684326980921062</v>
      </c>
      <c r="K62" s="257"/>
      <c r="L62" s="258"/>
      <c r="M62" s="230"/>
      <c r="O62" s="152"/>
    </row>
    <row r="63" spans="2:15" s="227" customFormat="1" ht="12.75">
      <c r="B63" s="149" t="s">
        <v>350</v>
      </c>
      <c r="C63" s="254"/>
      <c r="D63" s="259" t="s">
        <v>351</v>
      </c>
      <c r="E63" s="152"/>
      <c r="F63" s="152" t="s">
        <v>219</v>
      </c>
      <c r="G63" s="263">
        <f>H2O_SpecVolume_p_x(I54,D55)</f>
        <v>0.11676791869641219</v>
      </c>
      <c r="H63" s="256"/>
      <c r="I63" s="257">
        <f>H2O_SpecVolume_t_x(D54,D55)</f>
        <v>0.116767918696412</v>
      </c>
      <c r="J63" s="257">
        <f>H2O_SpecVolume_p_h(I54,G58)</f>
        <v>0.11676791869641204</v>
      </c>
      <c r="K63" s="257"/>
      <c r="L63" s="258"/>
      <c r="M63" s="230"/>
      <c r="O63" s="152"/>
    </row>
    <row r="64" spans="2:15" ht="15" thickBot="1">
      <c r="B64" s="208"/>
      <c r="C64" s="209"/>
      <c r="D64" s="209"/>
      <c r="E64" s="210"/>
      <c r="F64" s="209"/>
      <c r="G64" s="209"/>
      <c r="H64" s="209"/>
      <c r="I64" s="209"/>
      <c r="J64" s="209"/>
      <c r="K64" s="209"/>
      <c r="L64" s="209"/>
      <c r="M64" s="211"/>
      <c r="O64" s="150"/>
    </row>
    <row r="66" spans="5:7" ht="15">
      <c r="E66" s="142"/>
      <c r="G66" s="227" t="s">
        <v>374</v>
      </c>
    </row>
    <row r="67" spans="2:16" ht="15">
      <c r="B67" s="264" t="s">
        <v>375</v>
      </c>
      <c r="C67" s="155"/>
      <c r="D67" s="155"/>
      <c r="E67" s="156"/>
      <c r="G67" s="265" t="s">
        <v>185</v>
      </c>
      <c r="H67" s="571">
        <f>D54</f>
        <v>180</v>
      </c>
      <c r="I67" s="227" t="s">
        <v>36</v>
      </c>
      <c r="J67" s="227"/>
      <c r="P67" s="266"/>
    </row>
    <row r="68" spans="2:16" ht="15">
      <c r="B68" s="267" t="s">
        <v>376</v>
      </c>
      <c r="C68" s="268"/>
      <c r="D68" s="269">
        <v>373.946</v>
      </c>
      <c r="E68" s="270" t="s">
        <v>356</v>
      </c>
      <c r="G68" s="265" t="s">
        <v>184</v>
      </c>
      <c r="H68" s="572">
        <f>D55</f>
        <v>0.6</v>
      </c>
      <c r="I68" s="227" t="s">
        <v>370</v>
      </c>
      <c r="J68" s="227"/>
      <c r="P68" s="227"/>
    </row>
    <row r="69" spans="2:10" ht="15">
      <c r="B69" s="272" t="s">
        <v>377</v>
      </c>
      <c r="C69" s="273"/>
      <c r="D69" s="274">
        <v>220.64</v>
      </c>
      <c r="E69" s="275" t="s">
        <v>343</v>
      </c>
      <c r="G69" s="227"/>
      <c r="H69" s="227"/>
      <c r="I69" s="227"/>
      <c r="J69" s="227"/>
    </row>
    <row r="70" spans="7:18" ht="15.75">
      <c r="G70" s="276" t="s">
        <v>325</v>
      </c>
      <c r="H70" s="277" t="s">
        <v>378</v>
      </c>
      <c r="I70" s="235"/>
      <c r="J70" s="278"/>
      <c r="K70" s="276" t="s">
        <v>71</v>
      </c>
      <c r="L70" s="277" t="s">
        <v>379</v>
      </c>
      <c r="M70" s="235"/>
      <c r="N70" s="278"/>
      <c r="O70" s="276" t="s">
        <v>352</v>
      </c>
      <c r="P70" s="277" t="s">
        <v>380</v>
      </c>
      <c r="Q70" s="235"/>
      <c r="R70" s="278"/>
    </row>
    <row r="71" spans="7:18" ht="15.75">
      <c r="G71" s="279" t="s">
        <v>381</v>
      </c>
      <c r="H71" s="280" t="s">
        <v>199</v>
      </c>
      <c r="I71" s="152"/>
      <c r="J71" s="281"/>
      <c r="K71" s="279" t="s">
        <v>382</v>
      </c>
      <c r="L71" s="280" t="s">
        <v>247</v>
      </c>
      <c r="M71" s="152"/>
      <c r="N71" s="281"/>
      <c r="O71" s="279" t="s">
        <v>383</v>
      </c>
      <c r="P71" s="282" t="s">
        <v>270</v>
      </c>
      <c r="Q71" s="152"/>
      <c r="R71" s="281"/>
    </row>
    <row r="72" spans="7:18" ht="16.5">
      <c r="G72" s="279" t="s">
        <v>381</v>
      </c>
      <c r="H72" s="280">
        <f>SaturWater_Enthalpy_t(H67)</f>
        <v>763.1879981829451</v>
      </c>
      <c r="I72" s="152" t="s">
        <v>195</v>
      </c>
      <c r="J72" s="281"/>
      <c r="K72" s="279" t="s">
        <v>382</v>
      </c>
      <c r="L72" s="215">
        <f>SaturWater_Entropy_t(H67)</f>
        <v>2.139539697471679</v>
      </c>
      <c r="M72" s="152" t="s">
        <v>38</v>
      </c>
      <c r="N72" s="281"/>
      <c r="O72" s="279" t="s">
        <v>383</v>
      </c>
      <c r="P72" s="282">
        <f>SaturWater_SpecVolume_t(H67)</f>
        <v>0.0011273889575307012</v>
      </c>
      <c r="Q72" s="152" t="s">
        <v>384</v>
      </c>
      <c r="R72" s="281"/>
    </row>
    <row r="73" spans="7:18" ht="15.75">
      <c r="G73" s="279" t="s">
        <v>385</v>
      </c>
      <c r="H73" s="280" t="s">
        <v>291</v>
      </c>
      <c r="I73" s="152"/>
      <c r="J73" s="281"/>
      <c r="K73" s="279" t="s">
        <v>386</v>
      </c>
      <c r="L73" s="280" t="s">
        <v>294</v>
      </c>
      <c r="M73" s="152"/>
      <c r="N73" s="281"/>
      <c r="O73" s="279" t="s">
        <v>387</v>
      </c>
      <c r="P73" s="282" t="s">
        <v>300</v>
      </c>
      <c r="Q73" s="152"/>
      <c r="R73" s="281"/>
    </row>
    <row r="74" spans="7:18" ht="16.5">
      <c r="G74" s="279" t="s">
        <v>385</v>
      </c>
      <c r="H74" s="280">
        <f>SaturSteam_Enthalpy_t(H67)</f>
        <v>2777.219410681939</v>
      </c>
      <c r="I74" s="152" t="s">
        <v>195</v>
      </c>
      <c r="J74" s="281"/>
      <c r="K74" s="279" t="s">
        <v>386</v>
      </c>
      <c r="L74" s="215">
        <f>SaturSteam_Entropy_t(H67)</f>
        <v>6.584070771651571</v>
      </c>
      <c r="M74" s="152" t="s">
        <v>38</v>
      </c>
      <c r="N74" s="281"/>
      <c r="O74" s="279" t="s">
        <v>387</v>
      </c>
      <c r="P74" s="152">
        <f>SaturSteam_SpecVolume_t(H67)</f>
        <v>0.19386160518899953</v>
      </c>
      <c r="Q74" s="152" t="s">
        <v>384</v>
      </c>
      <c r="R74" s="281"/>
    </row>
    <row r="75" spans="7:18" ht="15">
      <c r="G75" s="279" t="s">
        <v>184</v>
      </c>
      <c r="H75" s="215">
        <f>H68</f>
        <v>0.6</v>
      </c>
      <c r="I75" s="152"/>
      <c r="J75" s="281"/>
      <c r="K75" s="279" t="s">
        <v>184</v>
      </c>
      <c r="L75" s="215">
        <f>H68</f>
        <v>0.6</v>
      </c>
      <c r="M75" s="152"/>
      <c r="N75" s="281"/>
      <c r="O75" s="279" t="s">
        <v>184</v>
      </c>
      <c r="P75" s="215">
        <f>H68</f>
        <v>0.6</v>
      </c>
      <c r="Q75" s="152"/>
      <c r="R75" s="281"/>
    </row>
    <row r="76" spans="7:18" ht="15">
      <c r="G76" s="283" t="s">
        <v>325</v>
      </c>
      <c r="H76" s="568">
        <f>H72+H75*(H74-H72)</f>
        <v>1971.6068456823414</v>
      </c>
      <c r="I76" s="247" t="s">
        <v>195</v>
      </c>
      <c r="J76" s="284"/>
      <c r="K76" s="283" t="s">
        <v>71</v>
      </c>
      <c r="L76" s="569">
        <f>L72+L75*(L74-L72)</f>
        <v>4.806258341979614</v>
      </c>
      <c r="M76" s="247" t="s">
        <v>38</v>
      </c>
      <c r="N76" s="284"/>
      <c r="O76" s="283" t="s">
        <v>352</v>
      </c>
      <c r="P76" s="570">
        <f>P72+P75*(P74-P72)</f>
        <v>0.116767918696412</v>
      </c>
      <c r="Q76" s="247" t="s">
        <v>384</v>
      </c>
      <c r="R76" s="284"/>
    </row>
    <row r="77" ht="15">
      <c r="J77" s="227"/>
    </row>
    <row r="78" ht="15">
      <c r="J78" s="227"/>
    </row>
    <row r="79" ht="15">
      <c r="J79" s="227"/>
    </row>
    <row r="80" spans="8:10" ht="15">
      <c r="H80" s="227"/>
      <c r="I80" s="227"/>
      <c r="J80" s="227"/>
    </row>
    <row r="81" spans="7:10" ht="15">
      <c r="G81" s="227"/>
      <c r="H81" s="227"/>
      <c r="I81" s="227"/>
      <c r="J81" s="227"/>
    </row>
    <row r="82" spans="8:10" ht="15">
      <c r="H82" s="227"/>
      <c r="I82" s="227"/>
      <c r="J82" s="227"/>
    </row>
  </sheetData>
  <sheetProtection/>
  <mergeCells count="1">
    <mergeCell ref="G56:L5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D20"/>
  <sheetViews>
    <sheetView zoomScalePageLayoutView="0" workbookViewId="0" topLeftCell="A1">
      <selection activeCell="G14" sqref="G14"/>
    </sheetView>
  </sheetViews>
  <sheetFormatPr defaultColWidth="9.140625" defaultRowHeight="15"/>
  <sheetData>
    <row r="1" spans="1:4" ht="14.25">
      <c r="A1">
        <v>1</v>
      </c>
      <c r="B1">
        <v>0</v>
      </c>
      <c r="C1">
        <v>0</v>
      </c>
      <c r="D1">
        <v>0.5132047</v>
      </c>
    </row>
    <row r="2" spans="1:4" ht="14.25">
      <c r="A2">
        <v>2</v>
      </c>
      <c r="B2">
        <v>0</v>
      </c>
      <c r="C2">
        <v>1</v>
      </c>
      <c r="D2">
        <v>0.3205656</v>
      </c>
    </row>
    <row r="3" spans="1:4" ht="14.25">
      <c r="A3">
        <v>3</v>
      </c>
      <c r="B3">
        <v>0</v>
      </c>
      <c r="C3">
        <v>4</v>
      </c>
      <c r="D3">
        <v>-0.7782567</v>
      </c>
    </row>
    <row r="4" spans="1:4" ht="14.25">
      <c r="A4">
        <v>4</v>
      </c>
      <c r="B4">
        <v>0</v>
      </c>
      <c r="C4">
        <v>5</v>
      </c>
      <c r="D4">
        <v>0.1885447</v>
      </c>
    </row>
    <row r="5" spans="1:4" ht="14.25">
      <c r="A5">
        <v>5</v>
      </c>
      <c r="B5">
        <v>1</v>
      </c>
      <c r="C5">
        <v>0</v>
      </c>
      <c r="D5">
        <v>0.2151778</v>
      </c>
    </row>
    <row r="6" spans="1:4" ht="14.25">
      <c r="A6">
        <v>6</v>
      </c>
      <c r="B6">
        <v>1</v>
      </c>
      <c r="C6">
        <v>1</v>
      </c>
      <c r="D6">
        <v>0.7317883</v>
      </c>
    </row>
    <row r="7" spans="1:4" ht="14.25">
      <c r="A7">
        <v>7</v>
      </c>
      <c r="B7">
        <v>1</v>
      </c>
      <c r="C7">
        <v>2</v>
      </c>
      <c r="D7">
        <v>1.241044</v>
      </c>
    </row>
    <row r="8" spans="1:4" ht="14.25">
      <c r="A8">
        <v>8</v>
      </c>
      <c r="B8">
        <v>1</v>
      </c>
      <c r="C8">
        <v>3</v>
      </c>
      <c r="D8">
        <v>1.476783</v>
      </c>
    </row>
    <row r="9" spans="1:4" ht="14.25">
      <c r="A9">
        <v>9</v>
      </c>
      <c r="B9">
        <v>2</v>
      </c>
      <c r="C9">
        <v>0</v>
      </c>
      <c r="D9">
        <v>-0.2818107</v>
      </c>
    </row>
    <row r="10" spans="1:4" ht="14.25">
      <c r="A10">
        <v>10</v>
      </c>
      <c r="B10">
        <v>2</v>
      </c>
      <c r="C10">
        <v>1</v>
      </c>
      <c r="D10">
        <v>-1.070786</v>
      </c>
    </row>
    <row r="11" spans="1:4" ht="14.25">
      <c r="A11">
        <v>11</v>
      </c>
      <c r="B11">
        <v>2</v>
      </c>
      <c r="C11">
        <v>2</v>
      </c>
      <c r="D11">
        <v>-1.263184</v>
      </c>
    </row>
    <row r="12" spans="1:4" ht="14.25">
      <c r="A12">
        <v>12</v>
      </c>
      <c r="B12">
        <v>3</v>
      </c>
      <c r="C12">
        <v>0</v>
      </c>
      <c r="D12">
        <v>0.1778064</v>
      </c>
    </row>
    <row r="13" spans="1:4" ht="14.25">
      <c r="A13">
        <v>13</v>
      </c>
      <c r="B13">
        <v>3</v>
      </c>
      <c r="C13">
        <v>1</v>
      </c>
      <c r="D13">
        <v>0.460504</v>
      </c>
    </row>
    <row r="14" spans="1:4" ht="14.25">
      <c r="A14">
        <v>14</v>
      </c>
      <c r="B14">
        <v>3</v>
      </c>
      <c r="C14">
        <v>2</v>
      </c>
      <c r="D14">
        <v>0.2340379</v>
      </c>
    </row>
    <row r="15" spans="1:4" ht="14.25">
      <c r="A15">
        <v>15</v>
      </c>
      <c r="B15">
        <v>3</v>
      </c>
      <c r="C15">
        <v>3</v>
      </c>
      <c r="D15">
        <v>-0.4924179</v>
      </c>
    </row>
    <row r="16" spans="1:4" ht="14.25">
      <c r="A16">
        <v>16</v>
      </c>
      <c r="B16">
        <v>4</v>
      </c>
      <c r="C16">
        <v>0</v>
      </c>
      <c r="D16">
        <v>-0.0417661</v>
      </c>
    </row>
    <row r="17" spans="1:4" ht="14.25">
      <c r="A17">
        <v>17</v>
      </c>
      <c r="B17">
        <v>4</v>
      </c>
      <c r="C17">
        <v>3</v>
      </c>
      <c r="D17">
        <v>0.1600435</v>
      </c>
    </row>
    <row r="18" spans="1:4" ht="14.25">
      <c r="A18">
        <v>18</v>
      </c>
      <c r="B18">
        <v>5</v>
      </c>
      <c r="C18">
        <v>1</v>
      </c>
      <c r="D18">
        <v>-0.01578386</v>
      </c>
    </row>
    <row r="19" spans="1:4" ht="14.25">
      <c r="A19">
        <v>19</v>
      </c>
      <c r="B19">
        <v>6</v>
      </c>
      <c r="C19">
        <v>3</v>
      </c>
      <c r="D19">
        <v>-0.003629481</v>
      </c>
    </row>
    <row r="20" spans="1:4" ht="14.25">
      <c r="A20" t="s">
        <v>0</v>
      </c>
      <c r="B20" t="s">
        <v>17</v>
      </c>
      <c r="C20" t="s">
        <v>18</v>
      </c>
      <c r="D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A30"/>
  <sheetViews>
    <sheetView zoomScalePageLayoutView="0" workbookViewId="0" topLeftCell="A1">
      <selection activeCell="G14" sqref="G14"/>
    </sheetView>
  </sheetViews>
  <sheetFormatPr defaultColWidth="9.140625" defaultRowHeight="15"/>
  <sheetData>
    <row r="1" ht="14.25">
      <c r="A1">
        <v>0.501938</v>
      </c>
    </row>
    <row r="2" ht="14.25">
      <c r="A2">
        <v>0.162888</v>
      </c>
    </row>
    <row r="3" ht="14.25">
      <c r="A3">
        <v>-0.130356</v>
      </c>
    </row>
    <row r="4" ht="14.25">
      <c r="A4">
        <v>0.907919</v>
      </c>
    </row>
    <row r="5" ht="14.25">
      <c r="A5">
        <v>-0.551119</v>
      </c>
    </row>
    <row r="6" ht="14.25">
      <c r="A6">
        <v>0.146543</v>
      </c>
    </row>
    <row r="7" ht="14.25">
      <c r="A7">
        <v>0.235622</v>
      </c>
    </row>
    <row r="8" ht="14.25">
      <c r="A8">
        <v>0.789393</v>
      </c>
    </row>
    <row r="9" ht="14.25">
      <c r="A9">
        <v>0.673665</v>
      </c>
    </row>
    <row r="10" ht="14.25">
      <c r="A10">
        <v>1.207552</v>
      </c>
    </row>
    <row r="11" ht="14.25">
      <c r="A11">
        <v>0.0670665</v>
      </c>
    </row>
    <row r="12" ht="14.25">
      <c r="A12">
        <v>-0.084337</v>
      </c>
    </row>
    <row r="13" ht="14.25">
      <c r="A13">
        <v>-0.274637</v>
      </c>
    </row>
    <row r="14" ht="14.25">
      <c r="A14">
        <v>-0.743539</v>
      </c>
    </row>
    <row r="15" ht="14.25">
      <c r="A15">
        <v>-0.959456</v>
      </c>
    </row>
    <row r="16" ht="14.25">
      <c r="A16">
        <v>-0.687343</v>
      </c>
    </row>
    <row r="17" ht="14.25">
      <c r="A17">
        <v>-0.497089</v>
      </c>
    </row>
    <row r="18" ht="14.25">
      <c r="A18">
        <v>0.195286</v>
      </c>
    </row>
    <row r="19" ht="14.25">
      <c r="A19">
        <v>0.145831</v>
      </c>
    </row>
    <row r="20" ht="14.25">
      <c r="A20">
        <v>0.263129</v>
      </c>
    </row>
    <row r="21" ht="14.25">
      <c r="A21">
        <v>0.347247</v>
      </c>
    </row>
    <row r="22" ht="14.25">
      <c r="A22">
        <v>0.213486</v>
      </c>
    </row>
    <row r="23" ht="14.25">
      <c r="A23">
        <v>0.100754</v>
      </c>
    </row>
    <row r="24" ht="14.25">
      <c r="A24">
        <v>-0.032932</v>
      </c>
    </row>
    <row r="25" ht="14.25">
      <c r="A25">
        <v>-0.0270448</v>
      </c>
    </row>
    <row r="26" ht="14.25">
      <c r="A26">
        <v>-0.0253093</v>
      </c>
    </row>
    <row r="27" ht="14.25">
      <c r="A27">
        <v>-0.0267758</v>
      </c>
    </row>
    <row r="28" ht="14.25">
      <c r="A28">
        <v>-0.0822904</v>
      </c>
    </row>
    <row r="29" ht="14.25">
      <c r="A29">
        <v>0.0602253</v>
      </c>
    </row>
    <row r="30" ht="14.25">
      <c r="A30">
        <v>-0.0202595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AA19"/>
  <sheetViews>
    <sheetView zoomScalePageLayoutView="0" workbookViewId="0" topLeftCell="A1">
      <selection activeCell="G14" sqref="G14"/>
    </sheetView>
  </sheetViews>
  <sheetFormatPr defaultColWidth="9.140625" defaultRowHeight="15"/>
  <sheetData>
    <row r="1" spans="2:25" ht="14.2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</row>
    <row r="2" spans="1:25" ht="14.25">
      <c r="A2" t="s">
        <v>22</v>
      </c>
      <c r="B2">
        <v>0</v>
      </c>
      <c r="C2">
        <v>50</v>
      </c>
      <c r="D2">
        <v>70</v>
      </c>
      <c r="E2">
        <v>100</v>
      </c>
      <c r="F2">
        <v>120</v>
      </c>
      <c r="G2">
        <v>150</v>
      </c>
      <c r="H2">
        <v>170</v>
      </c>
      <c r="I2">
        <v>200</v>
      </c>
      <c r="J2">
        <v>220</v>
      </c>
      <c r="K2">
        <v>250</v>
      </c>
      <c r="L2">
        <v>270</v>
      </c>
      <c r="M2">
        <v>300</v>
      </c>
      <c r="N2">
        <v>320</v>
      </c>
      <c r="O2">
        <v>350</v>
      </c>
      <c r="P2">
        <v>370</v>
      </c>
      <c r="Q2">
        <v>400</v>
      </c>
      <c r="R2">
        <v>450</v>
      </c>
      <c r="S2">
        <v>500</v>
      </c>
      <c r="T2">
        <v>550</v>
      </c>
      <c r="U2">
        <v>600</v>
      </c>
      <c r="V2">
        <v>650</v>
      </c>
      <c r="W2">
        <v>700</v>
      </c>
      <c r="X2">
        <v>740</v>
      </c>
      <c r="Y2">
        <v>800</v>
      </c>
    </row>
    <row r="3" spans="1:27" ht="14.25">
      <c r="A3">
        <v>-4.60517018598809</v>
      </c>
      <c r="B3">
        <v>0.969443810872398</v>
      </c>
      <c r="C3">
        <v>1.00487805222467</v>
      </c>
      <c r="D3">
        <v>1.01088472798181</v>
      </c>
      <c r="E3">
        <v>1.01437745537908</v>
      </c>
      <c r="F3">
        <v>1.01507234651284</v>
      </c>
      <c r="G3">
        <v>1.01418609812324</v>
      </c>
      <c r="H3">
        <v>1.01311514350376</v>
      </c>
      <c r="I3">
        <v>1.01061229022032</v>
      </c>
      <c r="J3">
        <v>1.00921924261514</v>
      </c>
      <c r="K3">
        <v>1.00689265053825</v>
      </c>
      <c r="L3">
        <v>0.998709019333883</v>
      </c>
      <c r="M3">
        <v>1.00359764853597</v>
      </c>
      <c r="N3">
        <v>1.0024504722214</v>
      </c>
      <c r="O3">
        <v>1.00120612194387</v>
      </c>
      <c r="P3">
        <v>1.00055602157115</v>
      </c>
      <c r="Q3">
        <v>0.999763832024397</v>
      </c>
      <c r="R3">
        <v>0.999088070880954</v>
      </c>
      <c r="S3">
        <v>0.999176147659724</v>
      </c>
      <c r="T3">
        <v>0.999589480322322</v>
      </c>
      <c r="U3">
        <v>1.00038540166343</v>
      </c>
      <c r="V3">
        <v>1.00135722674051</v>
      </c>
      <c r="W3">
        <v>1.00234463994672</v>
      </c>
      <c r="X3">
        <v>1.00310923236329</v>
      </c>
      <c r="Y3">
        <v>1.00397734826748</v>
      </c>
      <c r="Z3">
        <v>0</v>
      </c>
      <c r="AA3">
        <v>0.01</v>
      </c>
    </row>
    <row r="4" spans="1:27" ht="14.25">
      <c r="A4">
        <v>-2.30258509299405</v>
      </c>
      <c r="B4">
        <v>0.970945067487961</v>
      </c>
      <c r="C4">
        <v>0.997806584413588</v>
      </c>
      <c r="D4">
        <v>1.00526463917437</v>
      </c>
      <c r="E4">
        <v>1.01091491026983</v>
      </c>
      <c r="F4">
        <v>1.01248695903851</v>
      </c>
      <c r="G4">
        <v>1.0124634010612</v>
      </c>
      <c r="H4">
        <v>1.01180021788686</v>
      </c>
      <c r="I4">
        <v>1.00999586727314</v>
      </c>
      <c r="J4">
        <v>1.00862350768297</v>
      </c>
      <c r="K4">
        <v>1.00659495856383</v>
      </c>
      <c r="L4">
        <v>0.99398646643205</v>
      </c>
      <c r="M4">
        <v>1.00331881260057</v>
      </c>
      <c r="N4">
        <v>1.00239985152997</v>
      </c>
      <c r="O4">
        <v>1.0011514347681</v>
      </c>
      <c r="P4">
        <v>1.00049937610185</v>
      </c>
      <c r="Q4">
        <v>0.999705113642422</v>
      </c>
      <c r="R4">
        <v>0.999192098314158</v>
      </c>
      <c r="S4">
        <v>0.999115073556324</v>
      </c>
      <c r="T4">
        <v>0.999665132708644</v>
      </c>
      <c r="U4">
        <v>1.00045087504805</v>
      </c>
      <c r="V4">
        <v>1.00141437008325</v>
      </c>
      <c r="W4">
        <v>1.00239489038673</v>
      </c>
      <c r="X4">
        <v>1.00315479810283</v>
      </c>
      <c r="Y4">
        <v>1.00401698552625</v>
      </c>
      <c r="Z4">
        <v>1</v>
      </c>
      <c r="AA4">
        <v>0.1</v>
      </c>
    </row>
    <row r="5" spans="1:27" ht="14.25">
      <c r="A5">
        <v>-0.693147180559945</v>
      </c>
      <c r="B5">
        <v>1</v>
      </c>
      <c r="C5">
        <v>1</v>
      </c>
      <c r="D5">
        <v>0.990795893969326</v>
      </c>
      <c r="E5">
        <v>0.998098726230815</v>
      </c>
      <c r="F5">
        <v>1.00229236189614</v>
      </c>
      <c r="G5">
        <v>1.0057668563826</v>
      </c>
      <c r="H5">
        <v>1.00676415911362</v>
      </c>
      <c r="I5">
        <v>1.00660764264523</v>
      </c>
      <c r="J5">
        <v>1.0061717473417</v>
      </c>
      <c r="K5">
        <v>1.00502361679619</v>
      </c>
      <c r="L5">
        <v>1.00411602591117</v>
      </c>
      <c r="M5">
        <v>1.00276408973858</v>
      </c>
      <c r="N5">
        <v>1.00184180069157</v>
      </c>
      <c r="O5">
        <v>1.0008000727513</v>
      </c>
      <c r="P5">
        <v>1.00033833817591</v>
      </c>
      <c r="Q5">
        <v>0.999710567313628</v>
      </c>
      <c r="R5">
        <v>0.999161837010764</v>
      </c>
      <c r="S5">
        <v>0.999209335782206</v>
      </c>
      <c r="T5">
        <v>0.999592748906492</v>
      </c>
      <c r="U5">
        <v>1.00036633577448</v>
      </c>
      <c r="V5">
        <v>1.00132141351678</v>
      </c>
      <c r="W5">
        <v>1.00240363169024</v>
      </c>
      <c r="X5">
        <v>1.00305310733387</v>
      </c>
      <c r="Y5">
        <v>1.00400613683037</v>
      </c>
      <c r="Z5">
        <v>2</v>
      </c>
      <c r="AA5">
        <v>0.5</v>
      </c>
    </row>
    <row r="6" spans="1:27" ht="14.25">
      <c r="A6">
        <v>0</v>
      </c>
      <c r="B6">
        <v>1</v>
      </c>
      <c r="C6">
        <v>1</v>
      </c>
      <c r="D6">
        <v>1.00463816849354</v>
      </c>
      <c r="E6">
        <v>0.988373648744302</v>
      </c>
      <c r="F6">
        <v>0.992766912633528</v>
      </c>
      <c r="G6">
        <v>0.998237169689763</v>
      </c>
      <c r="H6">
        <v>1.00097421198269</v>
      </c>
      <c r="I6">
        <v>1.00299970734426</v>
      </c>
      <c r="J6">
        <v>1.00336877487294</v>
      </c>
      <c r="K6">
        <v>1.00328071589179</v>
      </c>
      <c r="L6">
        <v>1.00262331028035</v>
      </c>
      <c r="M6">
        <v>1.00198322220439</v>
      </c>
      <c r="N6">
        <v>1.00127333534833</v>
      </c>
      <c r="O6">
        <v>1.00042286759856</v>
      </c>
      <c r="P6">
        <v>0.999949338899702</v>
      </c>
      <c r="Q6">
        <v>0.999493697276404</v>
      </c>
      <c r="R6">
        <v>0.999085393037064</v>
      </c>
      <c r="S6">
        <v>0.999104787327665</v>
      </c>
      <c r="T6">
        <v>0.99960555267909</v>
      </c>
      <c r="U6">
        <v>1.00035538011859</v>
      </c>
      <c r="V6">
        <v>1.00140826248214</v>
      </c>
      <c r="W6">
        <v>1.00236132198329</v>
      </c>
      <c r="X6">
        <v>1.00310389959009</v>
      </c>
      <c r="Y6">
        <v>1.00403964740488</v>
      </c>
      <c r="Z6">
        <v>3</v>
      </c>
      <c r="AA6">
        <v>1</v>
      </c>
    </row>
    <row r="7" spans="1:27" ht="14.25">
      <c r="A7">
        <v>1.6094379124341</v>
      </c>
      <c r="B7">
        <v>1</v>
      </c>
      <c r="C7">
        <v>1</v>
      </c>
      <c r="D7">
        <v>1</v>
      </c>
      <c r="E7">
        <v>1</v>
      </c>
      <c r="F7">
        <v>1</v>
      </c>
      <c r="G7">
        <v>0.973968146512581</v>
      </c>
      <c r="H7">
        <v>0.974165039424087</v>
      </c>
      <c r="I7">
        <v>0.980650606819864</v>
      </c>
      <c r="J7">
        <v>0.985386332077635</v>
      </c>
      <c r="K7">
        <v>0.990937699539883</v>
      </c>
      <c r="L7">
        <v>0.993505006831717</v>
      </c>
      <c r="M7">
        <v>0.995995422516591</v>
      </c>
      <c r="N7">
        <v>0.996922061495973</v>
      </c>
      <c r="O7">
        <v>0.997767547679674</v>
      </c>
      <c r="P7">
        <v>0.998067838617039</v>
      </c>
      <c r="Q7">
        <v>0.998288037414028</v>
      </c>
      <c r="R7">
        <v>0.998562236290479</v>
      </c>
      <c r="S7">
        <v>0.998919448394017</v>
      </c>
      <c r="T7">
        <v>0.999607947463059</v>
      </c>
      <c r="U7">
        <v>1.00029437320205</v>
      </c>
      <c r="V7">
        <v>1.00131354545479</v>
      </c>
      <c r="W7">
        <v>1.00225372880466</v>
      </c>
      <c r="X7">
        <v>1.00301656240317</v>
      </c>
      <c r="Y7">
        <v>1.00394413873894</v>
      </c>
      <c r="Z7">
        <v>4</v>
      </c>
      <c r="AA7">
        <v>5</v>
      </c>
    </row>
    <row r="8" spans="1:27" ht="14.25">
      <c r="A8">
        <v>2.30258509299405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0.973305680616261</v>
      </c>
      <c r="I8">
        <v>0.969257000112041</v>
      </c>
      <c r="J8">
        <v>0.972432993778862</v>
      </c>
      <c r="K8">
        <v>0.979971486693547</v>
      </c>
      <c r="L8">
        <v>0.984693729846796</v>
      </c>
      <c r="M8">
        <v>0.989907095924671</v>
      </c>
      <c r="N8">
        <v>0.992377415904839</v>
      </c>
      <c r="O8">
        <v>0.994870726894341</v>
      </c>
      <c r="P8">
        <v>0.99604644883162</v>
      </c>
      <c r="Q8">
        <v>0.997064593978695</v>
      </c>
      <c r="R8">
        <v>0.998112139626874</v>
      </c>
      <c r="S8">
        <v>0.998813331662882</v>
      </c>
      <c r="T8">
        <v>0.999459004313655</v>
      </c>
      <c r="U8">
        <v>1.00028039273416</v>
      </c>
      <c r="V8">
        <v>1.00109919387268</v>
      </c>
      <c r="W8">
        <v>1.00210350725494</v>
      </c>
      <c r="X8">
        <v>1.00286319291208</v>
      </c>
      <c r="Y8">
        <v>1.0039426952358</v>
      </c>
      <c r="Z8">
        <v>5</v>
      </c>
      <c r="AA8">
        <v>10</v>
      </c>
    </row>
    <row r="9" spans="1:27" ht="14.25">
      <c r="A9">
        <v>2.99573227355399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0.97696485024626</v>
      </c>
      <c r="K9">
        <v>0.971138952492198</v>
      </c>
      <c r="L9">
        <v>0.975082445499346</v>
      </c>
      <c r="M9">
        <v>0.982016097942316</v>
      </c>
      <c r="N9">
        <v>0.98593780976544</v>
      </c>
      <c r="O9">
        <v>0.990538711232689</v>
      </c>
      <c r="P9">
        <v>0.992486652755537</v>
      </c>
      <c r="Q9">
        <v>0.995094183740196</v>
      </c>
      <c r="R9">
        <v>0.997376553493986</v>
      </c>
      <c r="S9">
        <v>0.998561295801221</v>
      </c>
      <c r="T9">
        <v>0.999302396192033</v>
      </c>
      <c r="U9">
        <v>0.999956789830146</v>
      </c>
      <c r="V9">
        <v>1.00082489103868</v>
      </c>
      <c r="W9">
        <v>1.00171106702734</v>
      </c>
      <c r="X9">
        <v>1.00245654116741</v>
      </c>
      <c r="Y9">
        <v>1.00373848776842</v>
      </c>
      <c r="Z9">
        <v>6</v>
      </c>
      <c r="AA9">
        <v>20</v>
      </c>
    </row>
    <row r="10" spans="1:27" ht="14.25">
      <c r="A10">
        <v>3.91202300542815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1.02460119065002</v>
      </c>
      <c r="L10">
        <v>1.00111868846701</v>
      </c>
      <c r="M10">
        <v>0.985255403113181</v>
      </c>
      <c r="N10">
        <v>0.984131025901249</v>
      </c>
      <c r="O10">
        <v>0.98651025548979</v>
      </c>
      <c r="P10">
        <v>0.987099544367738</v>
      </c>
      <c r="Q10">
        <v>0.99139583259765</v>
      </c>
      <c r="R10">
        <v>0.995854213698349</v>
      </c>
      <c r="S10">
        <v>0.998001755566856</v>
      </c>
      <c r="T10">
        <v>0.998768752959291</v>
      </c>
      <c r="U10">
        <v>0.998995095692533</v>
      </c>
      <c r="V10">
        <v>0.999291427421943</v>
      </c>
      <c r="W10">
        <v>0.999910166148319</v>
      </c>
      <c r="X10">
        <v>1.00083725195701</v>
      </c>
      <c r="Y10">
        <v>1.00244723913283</v>
      </c>
      <c r="Z10">
        <v>7</v>
      </c>
      <c r="AA10">
        <v>50</v>
      </c>
    </row>
    <row r="11" spans="1:27" ht="14.25">
      <c r="A11">
        <v>4.24849524204936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1.04191725433037</v>
      </c>
      <c r="M11">
        <v>1.00756562091651</v>
      </c>
      <c r="N11">
        <v>0.996002725328044</v>
      </c>
      <c r="O11">
        <v>0.991008647704118</v>
      </c>
      <c r="P11">
        <v>0.987148131031008</v>
      </c>
      <c r="Q11">
        <v>0.990607972950099</v>
      </c>
      <c r="R11">
        <v>0.995137734299378</v>
      </c>
      <c r="S11">
        <v>0.99748561513769</v>
      </c>
      <c r="T11">
        <v>0.998131825177044</v>
      </c>
      <c r="U11">
        <v>0.997873810087612</v>
      </c>
      <c r="V11">
        <v>0.997781222851176</v>
      </c>
      <c r="W11">
        <v>0.998272815809672</v>
      </c>
      <c r="X11">
        <v>0.999150315537857</v>
      </c>
      <c r="Y11">
        <v>1.00112775140738</v>
      </c>
      <c r="Z11">
        <v>8</v>
      </c>
      <c r="AA11">
        <v>70</v>
      </c>
    </row>
    <row r="12" spans="1:27" ht="14.25">
      <c r="A12">
        <v>4.60517018598809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1.04087377932073</v>
      </c>
      <c r="N12">
        <v>1.0259067151005</v>
      </c>
      <c r="O12">
        <v>1.0071851930617</v>
      </c>
      <c r="P12">
        <v>0.992324915362375</v>
      </c>
      <c r="Q12">
        <v>0.990790349358785</v>
      </c>
      <c r="R12">
        <v>0.99410250380776</v>
      </c>
      <c r="S12">
        <v>0.996617843368222</v>
      </c>
      <c r="T12">
        <v>0.996781981221766</v>
      </c>
      <c r="U12">
        <v>0.995880482920587</v>
      </c>
      <c r="V12">
        <v>0.99511794671584</v>
      </c>
      <c r="W12">
        <v>0.997037404715205</v>
      </c>
      <c r="X12">
        <v>0.996070054163377</v>
      </c>
      <c r="Y12">
        <v>0.998416234022218</v>
      </c>
      <c r="Z12">
        <v>9</v>
      </c>
      <c r="AA12">
        <v>100</v>
      </c>
    </row>
    <row r="13" spans="1:27" ht="14.25">
      <c r="A13">
        <v>5.01063529409626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0.923085332823969</v>
      </c>
      <c r="O13">
        <v>1.03382001441528</v>
      </c>
      <c r="P13">
        <v>1.01697438298943</v>
      </c>
      <c r="Q13">
        <v>0.990518753432863</v>
      </c>
      <c r="R13">
        <v>0.99149627724425</v>
      </c>
      <c r="S13">
        <v>0.994548332992713</v>
      </c>
      <c r="T13">
        <v>0.993973520214544</v>
      </c>
      <c r="U13">
        <v>0.991554491454128</v>
      </c>
      <c r="V13">
        <v>0.989461180402625</v>
      </c>
      <c r="W13">
        <v>0.986942028387336</v>
      </c>
      <c r="X13">
        <v>0.989426832998158</v>
      </c>
      <c r="Y13">
        <v>0.992279311996547</v>
      </c>
      <c r="Z13">
        <v>10</v>
      </c>
      <c r="AA13">
        <v>150</v>
      </c>
    </row>
    <row r="14" spans="1:27" ht="14.25">
      <c r="A14">
        <v>5.29831736654804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0.525472266225179</v>
      </c>
      <c r="P14">
        <v>1.08304860911672</v>
      </c>
      <c r="Q14">
        <v>0.979049333013133</v>
      </c>
      <c r="R14">
        <v>0.98553178556519</v>
      </c>
      <c r="S14">
        <v>0.991374357604587</v>
      </c>
      <c r="T14">
        <v>0.990530827952365</v>
      </c>
      <c r="U14">
        <v>0.986413044227746</v>
      </c>
      <c r="V14">
        <v>0.982636635951822</v>
      </c>
      <c r="W14">
        <v>0.980992993687806</v>
      </c>
      <c r="X14">
        <v>0.981467298540777</v>
      </c>
      <c r="Y14">
        <v>0.984565514203837</v>
      </c>
      <c r="Z14">
        <v>11</v>
      </c>
      <c r="AA14">
        <v>200</v>
      </c>
    </row>
    <row r="15" spans="1:27" ht="14.25">
      <c r="A15">
        <v>5.39362754635236</v>
      </c>
      <c r="B15">
        <v>1.00312417982401</v>
      </c>
      <c r="C15">
        <v>0.996951189033007</v>
      </c>
      <c r="D15">
        <v>0.99570847550405</v>
      </c>
      <c r="E15">
        <v>0.99822508546132</v>
      </c>
      <c r="F15">
        <v>1.00040715377443</v>
      </c>
      <c r="G15">
        <v>1.00210976157002</v>
      </c>
      <c r="H15">
        <v>1.00186259684846</v>
      </c>
      <c r="I15">
        <v>0.999836889631406</v>
      </c>
      <c r="J15">
        <v>0.997829940608237</v>
      </c>
      <c r="K15">
        <v>0.99489535773418</v>
      </c>
      <c r="L15">
        <v>0.993881016753891</v>
      </c>
      <c r="M15">
        <v>0.994931014842262</v>
      </c>
      <c r="N15">
        <v>0.995810152193449</v>
      </c>
      <c r="O15">
        <v>0.98327680227571</v>
      </c>
      <c r="P15">
        <v>0.631872874588874</v>
      </c>
      <c r="Q15">
        <v>0.968332091322194</v>
      </c>
      <c r="R15">
        <v>0.981876257593324</v>
      </c>
      <c r="S15">
        <v>0.9898673299497</v>
      </c>
      <c r="T15">
        <v>0.988963488553329</v>
      </c>
      <c r="U15">
        <v>0.984216830606933</v>
      </c>
      <c r="V15">
        <v>0.979778846109821</v>
      </c>
      <c r="W15">
        <v>0.977632616350335</v>
      </c>
      <c r="X15">
        <v>0.977977776123513</v>
      </c>
      <c r="Y15">
        <v>0.981183657916282</v>
      </c>
      <c r="Z15">
        <v>12</v>
      </c>
      <c r="AA15">
        <v>220</v>
      </c>
    </row>
    <row r="16" spans="1:27" ht="14.25">
      <c r="A16">
        <v>5.4380793089232</v>
      </c>
      <c r="B16">
        <v>1.00315552287755</v>
      </c>
      <c r="C16">
        <v>0.996994900621078</v>
      </c>
      <c r="D16">
        <v>0.995728435372802</v>
      </c>
      <c r="E16">
        <v>0.998209327688441</v>
      </c>
      <c r="F16">
        <v>1.00036072873653</v>
      </c>
      <c r="G16">
        <v>1.00205165791382</v>
      </c>
      <c r="H16">
        <v>1.00181335626562</v>
      </c>
      <c r="I16">
        <v>0.999793282516296</v>
      </c>
      <c r="J16">
        <v>0.997790315230465</v>
      </c>
      <c r="K16">
        <v>0.994893003158177</v>
      </c>
      <c r="L16">
        <v>0.993852420909639</v>
      </c>
      <c r="M16">
        <v>0.994861141649505</v>
      </c>
      <c r="N16">
        <v>0.995835344774273</v>
      </c>
      <c r="O16">
        <v>0.984265906692085</v>
      </c>
      <c r="P16">
        <v>0.955029404189666</v>
      </c>
      <c r="Q16">
        <v>0.96187204997062</v>
      </c>
      <c r="R16">
        <v>0.979694333194346</v>
      </c>
      <c r="S16">
        <v>0.989060987615805</v>
      </c>
      <c r="T16">
        <v>0.988268595726082</v>
      </c>
      <c r="U16">
        <v>0.983133103396077</v>
      </c>
      <c r="V16">
        <v>0.97828063386191</v>
      </c>
      <c r="W16">
        <v>0.975943570950627</v>
      </c>
      <c r="X16">
        <v>0.97614105880905</v>
      </c>
      <c r="Y16">
        <v>0.979438967010553</v>
      </c>
      <c r="Z16">
        <v>13</v>
      </c>
      <c r="AA16">
        <v>230</v>
      </c>
    </row>
    <row r="17" spans="1:27" ht="14.25">
      <c r="A17">
        <v>6.21460809842219</v>
      </c>
      <c r="B17">
        <v>1.00396275940193</v>
      </c>
      <c r="C17">
        <v>0.997962284877796</v>
      </c>
      <c r="D17">
        <v>0.99587891799985</v>
      </c>
      <c r="E17">
        <v>0.997342066585049</v>
      </c>
      <c r="F17">
        <v>0.998904330400649</v>
      </c>
      <c r="G17">
        <v>0.999903921712397</v>
      </c>
      <c r="H17">
        <v>0.999432984649498</v>
      </c>
      <c r="I17">
        <v>0.997472741489759</v>
      </c>
      <c r="J17">
        <v>0.995846065664226</v>
      </c>
      <c r="K17">
        <v>0.993534621130161</v>
      </c>
      <c r="L17">
        <v>0.992624552865971</v>
      </c>
      <c r="M17">
        <v>0.993121789138087</v>
      </c>
      <c r="N17">
        <v>0.994735880589795</v>
      </c>
      <c r="O17">
        <v>0.995689385986462</v>
      </c>
      <c r="P17">
        <v>0.990268533398895</v>
      </c>
      <c r="Q17">
        <v>0.971023747919222</v>
      </c>
      <c r="R17">
        <v>1.00006234944347</v>
      </c>
      <c r="S17">
        <v>1.01177630199807</v>
      </c>
      <c r="T17">
        <v>0.994064259371652</v>
      </c>
      <c r="U17">
        <v>0.970693139828514</v>
      </c>
      <c r="V17">
        <v>0.949806775130609</v>
      </c>
      <c r="W17">
        <v>0.936533679018862</v>
      </c>
      <c r="X17">
        <v>0.931743603067784</v>
      </c>
      <c r="Y17">
        <v>0.932478247159653</v>
      </c>
      <c r="Z17">
        <v>14</v>
      </c>
      <c r="AA17">
        <v>500</v>
      </c>
    </row>
    <row r="18" spans="1:27" ht="14.25">
      <c r="A18">
        <v>6.5510803350434</v>
      </c>
      <c r="B18">
        <v>1.00468907526982</v>
      </c>
      <c r="C18">
        <v>0.99828606272045</v>
      </c>
      <c r="D18">
        <v>0.995643665218228</v>
      </c>
      <c r="E18">
        <v>0.996312926664031</v>
      </c>
      <c r="F18">
        <v>0.997381091192297</v>
      </c>
      <c r="G18">
        <v>0.997712718836382</v>
      </c>
      <c r="H18">
        <v>0.996958463033992</v>
      </c>
      <c r="I18">
        <v>0.994898902865548</v>
      </c>
      <c r="J18">
        <v>0.99337657379185</v>
      </c>
      <c r="K18">
        <v>0.991488270353868</v>
      </c>
      <c r="L18">
        <v>0.990875168833687</v>
      </c>
      <c r="M18">
        <v>0.991568915591717</v>
      </c>
      <c r="N18">
        <v>0.993328942345642</v>
      </c>
      <c r="O18">
        <v>0.99679831598645</v>
      </c>
      <c r="P18">
        <v>0.997257497426205</v>
      </c>
      <c r="Q18">
        <v>0.990526669688417</v>
      </c>
      <c r="R18">
        <v>0.98201490215365</v>
      </c>
      <c r="S18">
        <v>1.03232115441295</v>
      </c>
      <c r="T18">
        <v>1.04228539873499</v>
      </c>
      <c r="U18">
        <v>1.00513028559603</v>
      </c>
      <c r="V18">
        <v>0.965472265407686</v>
      </c>
      <c r="W18">
        <v>0.937489778092673</v>
      </c>
      <c r="X18">
        <v>0.924426789030085</v>
      </c>
      <c r="Y18">
        <v>0.917368560757708</v>
      </c>
      <c r="Z18">
        <v>15</v>
      </c>
      <c r="AA18">
        <v>700</v>
      </c>
    </row>
    <row r="19" spans="1:27" ht="14.25">
      <c r="A19">
        <v>6.90775527898214</v>
      </c>
      <c r="B19">
        <v>1.00657306282669</v>
      </c>
      <c r="C19">
        <v>0.998510836311961</v>
      </c>
      <c r="D19">
        <v>0.994995324172563</v>
      </c>
      <c r="E19">
        <v>0.994434488192311</v>
      </c>
      <c r="F19">
        <v>0.994647187536992</v>
      </c>
      <c r="G19">
        <v>0.993765917659119</v>
      </c>
      <c r="H19">
        <v>0.992366055758847</v>
      </c>
      <c r="I19">
        <v>0.989804061315392</v>
      </c>
      <c r="J19">
        <v>0.988300499343522</v>
      </c>
      <c r="K19">
        <v>0.986943791430526</v>
      </c>
      <c r="L19">
        <v>0.986889516426949</v>
      </c>
      <c r="M19">
        <v>0.988399440727765</v>
      </c>
      <c r="N19">
        <v>0.990640120429115</v>
      </c>
      <c r="O19">
        <v>0.995735225409253</v>
      </c>
      <c r="P19">
        <v>0.999570781102537</v>
      </c>
      <c r="Q19">
        <v>1.00349884757299</v>
      </c>
      <c r="R19">
        <v>1.00363048744459</v>
      </c>
      <c r="S19">
        <v>1.02439717033803</v>
      </c>
      <c r="T19">
        <v>1.0665668199216</v>
      </c>
      <c r="U19">
        <v>1.07185845220793</v>
      </c>
      <c r="V19">
        <v>1.03734677533066</v>
      </c>
      <c r="W19">
        <v>0.995644251533664</v>
      </c>
      <c r="X19">
        <v>0.969411571318692</v>
      </c>
      <c r="Y19">
        <v>0.945658053751233</v>
      </c>
      <c r="Z19">
        <v>16</v>
      </c>
      <c r="AA19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J22"/>
  <sheetViews>
    <sheetView zoomScalePageLayoutView="0" workbookViewId="0" topLeftCell="A1">
      <selection activeCell="G14" sqref="G14"/>
    </sheetView>
  </sheetViews>
  <sheetFormatPr defaultColWidth="9.140625" defaultRowHeight="15"/>
  <sheetData>
    <row r="1" spans="1:10" ht="14.25">
      <c r="A1">
        <v>1.854122</v>
      </c>
      <c r="B1">
        <v>0.0004836297</v>
      </c>
      <c r="C1">
        <v>6.696119E-06</v>
      </c>
      <c r="D1">
        <v>-5.889938E-08</v>
      </c>
      <c r="E1">
        <v>2.908888E-09</v>
      </c>
      <c r="F1">
        <v>-2.989384E-11</v>
      </c>
      <c r="G1">
        <v>1.69392E-13</v>
      </c>
      <c r="H1">
        <v>-4.970293E-16</v>
      </c>
      <c r="I1">
        <v>5.970227E-19</v>
      </c>
      <c r="J1" t="s">
        <v>23</v>
      </c>
    </row>
    <row r="2" spans="1:10" ht="14.25">
      <c r="A2">
        <v>3.77195799917367</v>
      </c>
      <c r="B2">
        <v>0.0315711253053002</v>
      </c>
      <c r="C2">
        <v>-0.00122647556804809</v>
      </c>
      <c r="D2">
        <v>0.000123749689384758</v>
      </c>
      <c r="E2">
        <v>-5.23290255715161E-06</v>
      </c>
      <c r="F2">
        <v>1.24137946783066E-07</v>
      </c>
      <c r="G2">
        <v>-1.62923130918174E-09</v>
      </c>
      <c r="H2">
        <v>1.1047558202458E-11</v>
      </c>
      <c r="I2">
        <v>-2.9487768385337E-14</v>
      </c>
      <c r="J2" t="s">
        <v>23</v>
      </c>
    </row>
    <row r="3" spans="1:10" ht="14.25">
      <c r="A3">
        <v>17.15</v>
      </c>
      <c r="B3">
        <v>0.796995820037495</v>
      </c>
      <c r="C3">
        <v>4.17996250145436E-25</v>
      </c>
      <c r="J3" t="s">
        <v>23</v>
      </c>
    </row>
    <row r="4" spans="1:10" ht="14.25">
      <c r="A4">
        <v>4.21694</v>
      </c>
      <c r="B4">
        <v>-0.003300861</v>
      </c>
      <c r="C4">
        <v>0.0001081804</v>
      </c>
      <c r="D4">
        <v>-1.828948E-06</v>
      </c>
      <c r="E4">
        <v>1.871136E-08</v>
      </c>
      <c r="F4">
        <v>-1.120935E-10</v>
      </c>
      <c r="G4">
        <v>3.961784E-13</v>
      </c>
      <c r="H4">
        <v>-7.664856E-16</v>
      </c>
      <c r="I4">
        <v>6.373848E-19</v>
      </c>
      <c r="J4" t="s">
        <v>24</v>
      </c>
    </row>
    <row r="5" spans="1:10" ht="14.25">
      <c r="A5">
        <v>4.86700649491368</v>
      </c>
      <c r="B5">
        <v>0.0088031845988047</v>
      </c>
      <c r="C5">
        <v>0.00051288009791484</v>
      </c>
      <c r="D5">
        <v>-3.60161561218509E-05</v>
      </c>
      <c r="E5">
        <v>1.5979501890891E-06</v>
      </c>
      <c r="F5">
        <v>-3.8219022765061E-08</v>
      </c>
      <c r="G5">
        <v>5.17965060611491E-10</v>
      </c>
      <c r="H5">
        <v>-3.69968925001374E-12</v>
      </c>
      <c r="I5">
        <v>1.09649095005835E-14</v>
      </c>
      <c r="J5" t="s">
        <v>24</v>
      </c>
    </row>
    <row r="6" spans="1:10" ht="14.25">
      <c r="A6">
        <v>10.11</v>
      </c>
      <c r="B6">
        <v>0.44699769973316</v>
      </c>
      <c r="C6">
        <v>2.30026683858269E-25</v>
      </c>
      <c r="J6" t="s">
        <v>24</v>
      </c>
    </row>
    <row r="7" spans="1:9" ht="14.25">
      <c r="A7">
        <v>8.832844</v>
      </c>
      <c r="B7">
        <v>0.03901931</v>
      </c>
      <c r="C7">
        <v>-0.0004295245</v>
      </c>
      <c r="D7">
        <v>1.159856E-05</v>
      </c>
      <c r="E7">
        <v>-1.339436E-07</v>
      </c>
      <c r="F7">
        <v>7.594484E-10</v>
      </c>
      <c r="G7">
        <v>-2.095268E-12</v>
      </c>
      <c r="H7">
        <v>2.256213E-15</v>
      </c>
      <c r="I7">
        <v>0</v>
      </c>
    </row>
    <row r="8" spans="1:9" ht="14.25">
      <c r="A8">
        <v>17.5691053023499</v>
      </c>
      <c r="B8">
        <v>0.0326470506901096</v>
      </c>
      <c r="C8">
        <v>-0.00256635061578669</v>
      </c>
      <c r="D8">
        <v>0.000207130532572144</v>
      </c>
      <c r="E8">
        <v>-6.89883780394924E-06</v>
      </c>
      <c r="F8">
        <v>1.22955771585123E-07</v>
      </c>
      <c r="G8">
        <v>-1.18669014133251E-09</v>
      </c>
      <c r="H8">
        <v>5.75795646543092E-12</v>
      </c>
      <c r="I8">
        <v>-1.07321672660991E-14</v>
      </c>
    </row>
    <row r="9" spans="1:3" ht="14.25">
      <c r="A9">
        <v>29.72</v>
      </c>
      <c r="B9">
        <v>0.112499999999965</v>
      </c>
      <c r="C9">
        <v>0.511250000000008</v>
      </c>
    </row>
    <row r="10" spans="1:9" ht="14.25">
      <c r="A10">
        <v>0.0005580378</v>
      </c>
      <c r="B10">
        <v>1.961162E-05</v>
      </c>
      <c r="C10">
        <v>1.202167E-07</v>
      </c>
      <c r="D10">
        <v>-2.665649E-10</v>
      </c>
      <c r="E10">
        <v>1.165483E-11</v>
      </c>
      <c r="F10">
        <v>-2.440138E-13</v>
      </c>
      <c r="G10">
        <v>1.991502E-15</v>
      </c>
      <c r="H10">
        <v>-7.268573E-18</v>
      </c>
      <c r="I10">
        <v>9.881534E-21</v>
      </c>
    </row>
    <row r="11" spans="1:9" ht="14.25">
      <c r="A11">
        <v>106.49644915443</v>
      </c>
      <c r="B11">
        <v>-0.405433041129848</v>
      </c>
      <c r="C11">
        <v>-0.00158916936577438</v>
      </c>
      <c r="D11">
        <v>7.35634598066857E-05</v>
      </c>
      <c r="E11">
        <v>-1.51443669048349E-06</v>
      </c>
      <c r="F11">
        <v>1.40660480978005E-08</v>
      </c>
      <c r="G11">
        <v>-4.24492641496465E-11</v>
      </c>
      <c r="H11">
        <v>-5.34424207862263E-14</v>
      </c>
      <c r="I11">
        <v>0</v>
      </c>
    </row>
    <row r="12" spans="1:3" ht="14.25">
      <c r="A12">
        <v>52.16</v>
      </c>
      <c r="B12">
        <v>-0.35249999999996</v>
      </c>
      <c r="C12">
        <v>-0.448750000000009</v>
      </c>
    </row>
    <row r="13" spans="1:10" ht="14.25">
      <c r="A13">
        <v>0.0170675181484568</v>
      </c>
      <c r="B13">
        <v>0.00552871927744167</v>
      </c>
      <c r="C13">
        <v>1.26729980402694E-05</v>
      </c>
      <c r="D13">
        <v>0.00909370968280682</v>
      </c>
      <c r="E13">
        <v>-0.0146785659414572</v>
      </c>
      <c r="F13">
        <v>0.0127641745239101</v>
      </c>
      <c r="G13">
        <v>-0.0059541027210091</v>
      </c>
      <c r="H13">
        <v>0.00141173587195137</v>
      </c>
      <c r="I13">
        <v>-0.00013299567962594</v>
      </c>
      <c r="J13" t="s">
        <v>25</v>
      </c>
    </row>
    <row r="14" spans="1:10" ht="14.25">
      <c r="A14">
        <v>-461.48177585015</v>
      </c>
      <c r="B14">
        <v>989.93432175763</v>
      </c>
      <c r="C14">
        <v>-838.120983608748</v>
      </c>
      <c r="D14">
        <v>323.43376290955</v>
      </c>
      <c r="E14">
        <v>-26.6774956188841</v>
      </c>
      <c r="F14">
        <v>-24.3634859572354</v>
      </c>
      <c r="G14">
        <v>9.74280979663174</v>
      </c>
      <c r="H14">
        <v>-1.50979671174693</v>
      </c>
      <c r="I14">
        <v>0.0888198331535637</v>
      </c>
      <c r="J14" t="s">
        <v>26</v>
      </c>
    </row>
    <row r="15" ht="14.25">
      <c r="J15" t="s">
        <v>27</v>
      </c>
    </row>
    <row r="16" spans="1:10" ht="14.25">
      <c r="A16">
        <v>0.560220419890496</v>
      </c>
      <c r="B16">
        <v>0.196471612270631</v>
      </c>
      <c r="C16">
        <v>0.0130669643583833</v>
      </c>
      <c r="D16">
        <v>-0.240580467550779</v>
      </c>
      <c r="E16">
        <v>0.245192166296782</v>
      </c>
      <c r="F16">
        <v>-0.126606427711023</v>
      </c>
      <c r="G16">
        <v>0.036755226631595</v>
      </c>
      <c r="H16">
        <v>-0.00578302241184824</v>
      </c>
      <c r="I16">
        <v>0.000386216945936237</v>
      </c>
      <c r="J16" t="s">
        <v>28</v>
      </c>
    </row>
    <row r="17" ht="14.25">
      <c r="J17" t="s">
        <v>29</v>
      </c>
    </row>
    <row r="19" spans="1:9" ht="14.25">
      <c r="A19">
        <v>0.9788384</v>
      </c>
      <c r="B19">
        <v>0.00139324</v>
      </c>
      <c r="C19">
        <v>-0.0001078993</v>
      </c>
      <c r="D19">
        <v>2.704499E-06</v>
      </c>
      <c r="E19">
        <v>-3.061989E-08</v>
      </c>
      <c r="F19">
        <v>1.819273E-10</v>
      </c>
      <c r="G19">
        <v>-5.766293E-13</v>
      </c>
      <c r="H19">
        <v>9.136328E-16</v>
      </c>
      <c r="I19">
        <v>-5.623831E-19</v>
      </c>
    </row>
    <row r="20" spans="1:9" ht="14.25">
      <c r="A20">
        <v>0.07464479</v>
      </c>
      <c r="B20">
        <v>0.003076892</v>
      </c>
      <c r="C20">
        <v>1.310366E-05</v>
      </c>
      <c r="D20">
        <v>3.47605E-07</v>
      </c>
      <c r="E20">
        <v>-4.871568E-09</v>
      </c>
      <c r="F20">
        <v>2.121443E-11</v>
      </c>
      <c r="G20">
        <v>1.276989E-14</v>
      </c>
      <c r="H20">
        <v>-3.559572E-16</v>
      </c>
      <c r="I20">
        <v>7.217523E-19</v>
      </c>
    </row>
    <row r="21" spans="1:3" ht="14.25">
      <c r="A21">
        <v>5.38699999999997</v>
      </c>
      <c r="B21">
        <v>3.20687732559437</v>
      </c>
      <c r="C21">
        <v>8.57483987170343E-29</v>
      </c>
    </row>
    <row r="22" spans="1:3" ht="14.25">
      <c r="A22">
        <v>7.80199999999993</v>
      </c>
      <c r="B22">
        <v>4.33798081335272</v>
      </c>
      <c r="C22">
        <v>1.37858607761067E-28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B2:S29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1" width="4.00390625" style="122" customWidth="1"/>
    <col min="2" max="2" width="31.421875" style="122" customWidth="1"/>
    <col min="3" max="3" width="14.421875" style="122" customWidth="1"/>
    <col min="4" max="4" width="26.421875" style="122" customWidth="1"/>
    <col min="5" max="5" width="10.140625" style="122" customWidth="1"/>
    <col min="6" max="6" width="8.00390625" style="122" customWidth="1"/>
    <col min="7" max="7" width="3.421875" style="122" customWidth="1"/>
    <col min="8" max="16384" width="8.00390625" style="122" customWidth="1"/>
  </cols>
  <sheetData>
    <row r="2" ht="12" customHeight="1">
      <c r="E2" s="363" t="str">
        <f>'Index of functions'!O2</f>
        <v>Rev. cjc 01.06.2016</v>
      </c>
    </row>
    <row r="3" spans="2:5" ht="18.75" customHeight="1">
      <c r="B3" s="514" t="s">
        <v>388</v>
      </c>
      <c r="C3" s="515"/>
      <c r="D3" s="516"/>
      <c r="E3" s="517"/>
    </row>
    <row r="4" spans="2:5" ht="18.75" customHeight="1">
      <c r="B4" s="510" t="s">
        <v>750</v>
      </c>
      <c r="C4" s="511"/>
      <c r="D4" s="512"/>
      <c r="E4" s="513"/>
    </row>
    <row r="5" spans="2:11" ht="18.75" customHeight="1">
      <c r="B5" s="122" t="s">
        <v>177</v>
      </c>
      <c r="K5" s="289" t="s">
        <v>389</v>
      </c>
    </row>
    <row r="6" spans="2:18" ht="18.75" customHeight="1">
      <c r="B6" s="400" t="s">
        <v>390</v>
      </c>
      <c r="C6" s="401"/>
      <c r="D6" s="402"/>
      <c r="E6" s="403"/>
      <c r="P6" s="290" t="s">
        <v>391</v>
      </c>
      <c r="Q6" s="291">
        <f>D7</f>
        <v>61</v>
      </c>
      <c r="R6" s="292" t="s">
        <v>50</v>
      </c>
    </row>
    <row r="7" spans="2:5" ht="18.75" customHeight="1">
      <c r="B7" s="393" t="s">
        <v>392</v>
      </c>
      <c r="C7" s="293" t="s">
        <v>393</v>
      </c>
      <c r="D7" s="399">
        <v>61</v>
      </c>
      <c r="E7" s="397" t="s">
        <v>343</v>
      </c>
    </row>
    <row r="8" spans="2:13" ht="18.75" customHeight="1">
      <c r="B8" s="392" t="s">
        <v>394</v>
      </c>
      <c r="C8" s="293" t="s">
        <v>395</v>
      </c>
      <c r="D8" s="391">
        <v>450</v>
      </c>
      <c r="E8" s="396" t="s">
        <v>356</v>
      </c>
      <c r="J8" s="122">
        <v>450</v>
      </c>
      <c r="M8" s="294">
        <f>D8</f>
        <v>450</v>
      </c>
    </row>
    <row r="9" spans="2:5" ht="18.75" customHeight="1">
      <c r="B9" s="393" t="s">
        <v>396</v>
      </c>
      <c r="C9" s="293" t="s">
        <v>397</v>
      </c>
      <c r="D9" s="391">
        <v>4.3</v>
      </c>
      <c r="E9" s="397" t="s">
        <v>343</v>
      </c>
    </row>
    <row r="10" spans="2:17" ht="18.75" customHeight="1">
      <c r="B10" s="394" t="s">
        <v>398</v>
      </c>
      <c r="C10" s="395" t="s">
        <v>399</v>
      </c>
      <c r="D10" s="390">
        <v>0.87</v>
      </c>
      <c r="E10" s="398" t="s">
        <v>333</v>
      </c>
      <c r="J10" s="227">
        <v>400</v>
      </c>
      <c r="K10" s="227"/>
      <c r="L10" s="227"/>
      <c r="M10" s="227"/>
      <c r="N10" s="227"/>
      <c r="O10" s="227"/>
      <c r="P10" s="227"/>
      <c r="Q10" s="227"/>
    </row>
    <row r="11" spans="3:17" ht="18.75" customHeight="1">
      <c r="C11" s="295"/>
      <c r="J11" s="227"/>
      <c r="L11" s="227"/>
      <c r="M11" s="227" t="s">
        <v>400</v>
      </c>
      <c r="N11" s="227">
        <v>220.64</v>
      </c>
      <c r="O11" s="227" t="s">
        <v>50</v>
      </c>
      <c r="P11" s="227"/>
      <c r="Q11" s="227"/>
    </row>
    <row r="12" spans="2:17" ht="18.75" customHeight="1">
      <c r="B12" s="501" t="s">
        <v>662</v>
      </c>
      <c r="C12" s="502"/>
      <c r="D12" s="503"/>
      <c r="E12" s="503"/>
      <c r="F12" s="504"/>
      <c r="J12" s="227" t="s">
        <v>54</v>
      </c>
      <c r="K12" s="227"/>
      <c r="L12" s="227"/>
      <c r="M12" s="227"/>
      <c r="N12" s="227"/>
      <c r="Q12" s="227"/>
    </row>
    <row r="13" spans="2:17" ht="18.75" customHeight="1">
      <c r="B13" s="505" t="s">
        <v>402</v>
      </c>
      <c r="C13" s="498" t="s">
        <v>403</v>
      </c>
      <c r="D13" s="499" t="s">
        <v>404</v>
      </c>
      <c r="E13" s="500">
        <f>H2O_Enthalpy_t_p(D8,D7)</f>
        <v>3301.3190511195116</v>
      </c>
      <c r="F13" s="508" t="s">
        <v>195</v>
      </c>
      <c r="K13" s="227"/>
      <c r="L13" s="227" t="s">
        <v>54</v>
      </c>
      <c r="M13" s="227"/>
      <c r="N13" s="227"/>
      <c r="O13" s="227"/>
      <c r="P13" s="227"/>
      <c r="Q13" s="227"/>
    </row>
    <row r="14" spans="2:17" ht="18.75" customHeight="1">
      <c r="B14" s="393" t="s">
        <v>405</v>
      </c>
      <c r="C14" s="293" t="s">
        <v>406</v>
      </c>
      <c r="D14" s="298" t="s">
        <v>407</v>
      </c>
      <c r="E14" s="316">
        <f>H2O_Entropy_t_p(D8,D7)</f>
        <v>6.712485874131268</v>
      </c>
      <c r="F14" s="397" t="s">
        <v>327</v>
      </c>
      <c r="J14" s="227">
        <v>300</v>
      </c>
      <c r="K14" s="227"/>
      <c r="L14" s="227" t="s">
        <v>408</v>
      </c>
      <c r="M14" s="227">
        <v>374</v>
      </c>
      <c r="N14" s="227" t="s">
        <v>36</v>
      </c>
      <c r="O14" s="227"/>
      <c r="P14" s="227"/>
      <c r="Q14" s="227"/>
    </row>
    <row r="15" spans="2:17" ht="18.75" customHeight="1">
      <c r="B15" s="393" t="s">
        <v>409</v>
      </c>
      <c r="C15" s="293" t="s">
        <v>410</v>
      </c>
      <c r="D15" s="94" t="s">
        <v>411</v>
      </c>
      <c r="E15" s="321">
        <f>E14</f>
        <v>6.712485874131268</v>
      </c>
      <c r="F15" s="397" t="s">
        <v>327</v>
      </c>
      <c r="K15" s="227"/>
      <c r="L15" s="227"/>
      <c r="M15" s="227"/>
      <c r="N15" s="227"/>
      <c r="O15" s="227"/>
      <c r="P15" s="227" t="s">
        <v>54</v>
      </c>
      <c r="Q15" s="227"/>
    </row>
    <row r="16" spans="2:17" ht="18.75" customHeight="1">
      <c r="B16" s="393" t="s">
        <v>412</v>
      </c>
      <c r="C16" s="293" t="s">
        <v>413</v>
      </c>
      <c r="D16" s="298" t="s">
        <v>663</v>
      </c>
      <c r="E16" s="316">
        <f>H2O_Enthalpy_p_s(D9,E15)</f>
        <v>2674.774137797936</v>
      </c>
      <c r="F16" s="397" t="s">
        <v>195</v>
      </c>
      <c r="J16" s="227"/>
      <c r="K16" s="227"/>
      <c r="L16" s="227"/>
      <c r="M16" s="227"/>
      <c r="N16" s="227"/>
      <c r="O16" s="271">
        <v>276.6670437816274</v>
      </c>
      <c r="P16" s="227" t="s">
        <v>36</v>
      </c>
      <c r="Q16" s="227"/>
    </row>
    <row r="17" spans="2:17" ht="18.75" customHeight="1">
      <c r="B17" s="393" t="s">
        <v>414</v>
      </c>
      <c r="C17" s="14" t="s">
        <v>415</v>
      </c>
      <c r="D17" s="94" t="s">
        <v>416</v>
      </c>
      <c r="E17" s="316">
        <f>E13-E16</f>
        <v>626.5449133215757</v>
      </c>
      <c r="F17" s="397" t="s">
        <v>195</v>
      </c>
      <c r="J17" s="227"/>
      <c r="K17" s="227"/>
      <c r="L17" s="227"/>
      <c r="M17" s="227"/>
      <c r="N17" s="227"/>
      <c r="O17" s="227"/>
      <c r="P17" s="227"/>
      <c r="Q17" s="227"/>
    </row>
    <row r="18" spans="2:17" ht="18.75" customHeight="1">
      <c r="B18" s="393" t="s">
        <v>417</v>
      </c>
      <c r="C18" s="14" t="s">
        <v>418</v>
      </c>
      <c r="D18" s="299" t="s">
        <v>419</v>
      </c>
      <c r="E18" s="316">
        <f>E17*D10</f>
        <v>545.0940745897708</v>
      </c>
      <c r="F18" s="397" t="s">
        <v>195</v>
      </c>
      <c r="J18" s="227">
        <v>200</v>
      </c>
      <c r="K18" s="227"/>
      <c r="L18" s="227"/>
      <c r="M18" s="227"/>
      <c r="N18" s="227"/>
      <c r="O18" s="227"/>
      <c r="P18" s="227"/>
      <c r="Q18" s="227"/>
    </row>
    <row r="19" spans="2:19" ht="18.75" customHeight="1">
      <c r="B19" s="393" t="s">
        <v>420</v>
      </c>
      <c r="C19" s="293" t="s">
        <v>421</v>
      </c>
      <c r="D19" s="299" t="s">
        <v>422</v>
      </c>
      <c r="E19" s="316">
        <f>E18/3.6</f>
        <v>151.41502071938078</v>
      </c>
      <c r="F19" s="397" t="s">
        <v>423</v>
      </c>
      <c r="J19" s="227"/>
      <c r="K19" s="227"/>
      <c r="L19" s="227"/>
      <c r="M19" s="227"/>
      <c r="N19" s="227"/>
      <c r="O19" s="227"/>
      <c r="P19" s="227"/>
      <c r="Q19" s="300" t="s">
        <v>54</v>
      </c>
      <c r="R19" s="292">
        <f>D9</f>
        <v>4.3</v>
      </c>
      <c r="S19" s="301" t="s">
        <v>50</v>
      </c>
    </row>
    <row r="20" spans="2:17" ht="18.75" customHeight="1">
      <c r="B20" s="393" t="s">
        <v>424</v>
      </c>
      <c r="C20" s="293" t="s">
        <v>425</v>
      </c>
      <c r="D20" s="94" t="s">
        <v>426</v>
      </c>
      <c r="E20" s="316">
        <f>E13-E18</f>
        <v>2756.224976529741</v>
      </c>
      <c r="F20" s="397" t="s">
        <v>195</v>
      </c>
      <c r="J20" s="227"/>
      <c r="K20" s="227"/>
      <c r="L20" s="227"/>
      <c r="M20" s="262">
        <f>E21</f>
        <v>152.641752384178</v>
      </c>
      <c r="N20" s="227" t="s">
        <v>36</v>
      </c>
      <c r="Q20" s="227"/>
    </row>
    <row r="21" spans="2:17" ht="18.75" customHeight="1">
      <c r="B21" s="393" t="s">
        <v>427</v>
      </c>
      <c r="C21" s="293" t="s">
        <v>428</v>
      </c>
      <c r="D21" s="302" t="s">
        <v>429</v>
      </c>
      <c r="E21" s="316">
        <f>H2O_Temperature_p_h(D9,E20)</f>
        <v>152.641752384178</v>
      </c>
      <c r="F21" s="396" t="s">
        <v>356</v>
      </c>
      <c r="J21" s="303"/>
      <c r="K21" s="227"/>
      <c r="L21" s="289" t="s">
        <v>431</v>
      </c>
      <c r="M21" s="404">
        <f>E22</f>
        <v>146.23827566767682</v>
      </c>
      <c r="N21" s="227"/>
      <c r="O21" s="227"/>
      <c r="P21" s="227"/>
      <c r="Q21" s="227"/>
    </row>
    <row r="22" spans="2:17" ht="18.75" customHeight="1">
      <c r="B22" s="393" t="s">
        <v>430</v>
      </c>
      <c r="C22" s="293" t="s">
        <v>431</v>
      </c>
      <c r="D22" s="302" t="s">
        <v>432</v>
      </c>
      <c r="E22" s="316">
        <f>H2O_SaturationTemp_p(D9)</f>
        <v>146.23827566767682</v>
      </c>
      <c r="F22" s="396" t="s">
        <v>356</v>
      </c>
      <c r="J22" s="227">
        <v>100</v>
      </c>
      <c r="K22" s="227"/>
      <c r="L22" s="227"/>
      <c r="M22" s="227"/>
      <c r="N22" s="227"/>
      <c r="O22" s="227"/>
      <c r="Q22" s="227"/>
    </row>
    <row r="23" spans="2:19" ht="18.75" customHeight="1">
      <c r="B23" s="393" t="s">
        <v>433</v>
      </c>
      <c r="C23" s="14" t="s">
        <v>434</v>
      </c>
      <c r="D23" s="94" t="s">
        <v>435</v>
      </c>
      <c r="E23" s="316">
        <f>E21-E22</f>
        <v>6.4034767165011885</v>
      </c>
      <c r="F23" s="396" t="s">
        <v>356</v>
      </c>
      <c r="J23" s="227"/>
      <c r="K23" s="227"/>
      <c r="L23" s="227"/>
      <c r="M23" s="227"/>
      <c r="N23" s="227"/>
      <c r="P23" s="304">
        <f>E14</f>
        <v>6.712485874131268</v>
      </c>
      <c r="Q23" s="305">
        <f>E24</f>
        <v>6.906396554500671</v>
      </c>
      <c r="S23" s="227" t="s">
        <v>436</v>
      </c>
    </row>
    <row r="24" spans="2:17" ht="18.75" customHeight="1">
      <c r="B24" s="394" t="s">
        <v>437</v>
      </c>
      <c r="C24" s="493" t="s">
        <v>438</v>
      </c>
      <c r="D24" s="506" t="s">
        <v>439</v>
      </c>
      <c r="E24" s="507">
        <f>H2O_Entropy_p_h(D9,E20)</f>
        <v>6.906396554500671</v>
      </c>
      <c r="F24" s="509" t="s">
        <v>327</v>
      </c>
      <c r="J24" s="227"/>
      <c r="K24" s="227"/>
      <c r="L24" s="152" t="s">
        <v>349</v>
      </c>
      <c r="M24" s="227"/>
      <c r="N24" s="227"/>
      <c r="O24" s="227"/>
      <c r="P24" s="227"/>
      <c r="Q24" s="300"/>
    </row>
    <row r="25" spans="4:5" ht="12.75">
      <c r="D25" s="206" t="s">
        <v>54</v>
      </c>
      <c r="E25" s="295"/>
    </row>
    <row r="26" ht="12.75">
      <c r="E26" s="295"/>
    </row>
    <row r="29" ht="12.75">
      <c r="E29" s="122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AD108"/>
  <sheetViews>
    <sheetView showGridLines="0" zoomScalePageLayoutView="0" workbookViewId="0" topLeftCell="A1">
      <selection activeCell="A1" sqref="A1"/>
    </sheetView>
  </sheetViews>
  <sheetFormatPr defaultColWidth="8.00390625" defaultRowHeight="15"/>
  <cols>
    <col min="1" max="2" width="3.7109375" style="122" customWidth="1"/>
    <col min="3" max="3" width="46.57421875" style="122" customWidth="1"/>
    <col min="4" max="4" width="6.8515625" style="295" customWidth="1"/>
    <col min="5" max="6" width="8.00390625" style="122" customWidth="1"/>
    <col min="7" max="7" width="12.7109375" style="122" customWidth="1"/>
    <col min="8" max="8" width="8.00390625" style="122" customWidth="1"/>
    <col min="9" max="10" width="8.7109375" style="122" customWidth="1"/>
    <col min="11" max="11" width="6.00390625" style="122" customWidth="1"/>
    <col min="12" max="21" width="8.00390625" style="122" customWidth="1"/>
    <col min="22" max="22" width="4.57421875" style="122" customWidth="1"/>
    <col min="23" max="16384" width="8.00390625" style="122" customWidth="1"/>
  </cols>
  <sheetData>
    <row r="1" spans="5:23" ht="13.5" thickBot="1">
      <c r="E1" s="122" t="s">
        <v>54</v>
      </c>
      <c r="W1" s="363" t="str">
        <f>'Index of functions'!O2</f>
        <v>Rev. cjc 01.06.2016</v>
      </c>
    </row>
    <row r="2" spans="2:23" ht="9.75" customHeight="1" thickTop="1">
      <c r="B2" s="476"/>
      <c r="C2" s="477"/>
      <c r="D2" s="48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80"/>
    </row>
    <row r="3" spans="2:23" ht="15.75" thickBot="1">
      <c r="B3" s="475"/>
      <c r="C3" s="485" t="s">
        <v>440</v>
      </c>
      <c r="D3" s="2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481"/>
    </row>
    <row r="4" spans="2:23" ht="11.25" customHeight="1" thickTop="1">
      <c r="B4" s="475"/>
      <c r="C4" s="94"/>
      <c r="D4" s="293"/>
      <c r="E4" s="94"/>
      <c r="F4" s="94"/>
      <c r="G4" s="94"/>
      <c r="H4" s="94" t="s">
        <v>54</v>
      </c>
      <c r="I4" s="486" t="s">
        <v>54</v>
      </c>
      <c r="J4" s="94"/>
      <c r="K4" s="94"/>
      <c r="L4" s="476"/>
      <c r="M4" s="477"/>
      <c r="N4" s="477"/>
      <c r="O4" s="477"/>
      <c r="P4" s="477" t="s">
        <v>442</v>
      </c>
      <c r="Q4" s="477"/>
      <c r="R4" s="477"/>
      <c r="S4" s="477"/>
      <c r="T4" s="477"/>
      <c r="U4" s="477"/>
      <c r="V4" s="480"/>
      <c r="W4" s="481"/>
    </row>
    <row r="5" spans="2:23" ht="12.75">
      <c r="B5" s="475"/>
      <c r="C5" s="285" t="s">
        <v>441</v>
      </c>
      <c r="D5" s="306"/>
      <c r="E5" s="286"/>
      <c r="F5" s="286"/>
      <c r="G5" s="286"/>
      <c r="H5" s="286"/>
      <c r="I5" s="287"/>
      <c r="J5" s="94"/>
      <c r="K5" s="94"/>
      <c r="L5" s="475"/>
      <c r="M5" s="94"/>
      <c r="N5" s="94"/>
      <c r="O5" s="94"/>
      <c r="P5" s="94"/>
      <c r="Q5" s="94">
        <v>3</v>
      </c>
      <c r="R5" s="94"/>
      <c r="S5" s="94"/>
      <c r="T5" s="94" t="s">
        <v>443</v>
      </c>
      <c r="U5" s="94"/>
      <c r="V5" s="481"/>
      <c r="W5" s="481"/>
    </row>
    <row r="6" spans="2:23" ht="12.75">
      <c r="B6" s="475"/>
      <c r="C6" s="288" t="s">
        <v>742</v>
      </c>
      <c r="D6" s="306"/>
      <c r="E6" s="286"/>
      <c r="F6" s="286"/>
      <c r="G6" s="286"/>
      <c r="H6" s="286"/>
      <c r="I6" s="287"/>
      <c r="J6" s="94"/>
      <c r="K6" s="94"/>
      <c r="L6" s="475"/>
      <c r="M6" s="94"/>
      <c r="N6" s="94"/>
      <c r="O6" s="94"/>
      <c r="P6" s="94"/>
      <c r="Q6" s="94"/>
      <c r="R6" s="94"/>
      <c r="S6" s="94"/>
      <c r="T6" s="307" t="s">
        <v>444</v>
      </c>
      <c r="U6" s="94"/>
      <c r="V6" s="481"/>
      <c r="W6" s="481"/>
    </row>
    <row r="7" spans="2:23" ht="15">
      <c r="B7" s="475"/>
      <c r="C7" s="94"/>
      <c r="D7" s="293"/>
      <c r="E7" s="94"/>
      <c r="F7" s="94"/>
      <c r="G7" s="94"/>
      <c r="H7" s="94"/>
      <c r="I7" s="94"/>
      <c r="J7" s="94"/>
      <c r="K7" s="94"/>
      <c r="L7" s="475"/>
      <c r="M7" s="94"/>
      <c r="N7" s="94"/>
      <c r="O7" s="94"/>
      <c r="P7" s="293">
        <v>4</v>
      </c>
      <c r="Q7" s="94"/>
      <c r="R7" s="94"/>
      <c r="S7" s="94"/>
      <c r="T7" s="94" t="s">
        <v>445</v>
      </c>
      <c r="U7" s="94"/>
      <c r="V7" s="481"/>
      <c r="W7" s="481"/>
    </row>
    <row r="8" spans="2:23" ht="12.75">
      <c r="B8" s="475"/>
      <c r="C8" s="580" t="s">
        <v>390</v>
      </c>
      <c r="D8" s="581"/>
      <c r="E8" s="581"/>
      <c r="F8" s="582"/>
      <c r="G8" s="94"/>
      <c r="H8" s="94"/>
      <c r="I8" s="94"/>
      <c r="J8" s="94"/>
      <c r="K8" s="94"/>
      <c r="L8" s="475"/>
      <c r="M8" s="94"/>
      <c r="N8" s="94"/>
      <c r="O8" s="94"/>
      <c r="P8" s="94"/>
      <c r="Q8" s="94"/>
      <c r="R8" s="94"/>
      <c r="S8" s="94"/>
      <c r="T8" s="94"/>
      <c r="U8" s="94"/>
      <c r="V8" s="481"/>
      <c r="W8" s="481"/>
    </row>
    <row r="9" spans="2:23" ht="15">
      <c r="B9" s="475"/>
      <c r="C9" s="392" t="s">
        <v>446</v>
      </c>
      <c r="D9" s="293" t="s">
        <v>393</v>
      </c>
      <c r="E9" s="491">
        <v>62</v>
      </c>
      <c r="F9" s="397" t="s">
        <v>343</v>
      </c>
      <c r="G9" s="293" t="s">
        <v>54</v>
      </c>
      <c r="H9" s="94"/>
      <c r="I9" s="94"/>
      <c r="J9" s="94"/>
      <c r="K9" s="94"/>
      <c r="L9" s="475" t="s">
        <v>54</v>
      </c>
      <c r="M9" s="94">
        <v>1</v>
      </c>
      <c r="N9" s="94"/>
      <c r="O9" s="94" t="s">
        <v>54</v>
      </c>
      <c r="P9" s="94"/>
      <c r="Q9" s="94"/>
      <c r="R9" s="94"/>
      <c r="S9" s="94"/>
      <c r="T9" s="94"/>
      <c r="U9" s="94"/>
      <c r="V9" s="481"/>
      <c r="W9" s="481"/>
    </row>
    <row r="10" spans="2:23" ht="15">
      <c r="B10" s="475"/>
      <c r="C10" s="392" t="s">
        <v>447</v>
      </c>
      <c r="D10" s="293" t="s">
        <v>395</v>
      </c>
      <c r="E10" s="489">
        <v>450</v>
      </c>
      <c r="F10" s="396" t="s">
        <v>356</v>
      </c>
      <c r="G10" s="94"/>
      <c r="H10" s="94"/>
      <c r="I10" s="94"/>
      <c r="J10" s="94"/>
      <c r="K10" s="94"/>
      <c r="L10" s="475"/>
      <c r="M10" s="94"/>
      <c r="N10" s="94"/>
      <c r="O10" s="94"/>
      <c r="P10" s="94"/>
      <c r="Q10" s="94"/>
      <c r="R10" s="94"/>
      <c r="S10" s="94"/>
      <c r="T10" s="94"/>
      <c r="U10" s="94"/>
      <c r="V10" s="481"/>
      <c r="W10" s="481"/>
    </row>
    <row r="11" spans="2:23" ht="15">
      <c r="B11" s="475"/>
      <c r="C11" s="392" t="s">
        <v>448</v>
      </c>
      <c r="D11" s="293" t="s">
        <v>397</v>
      </c>
      <c r="E11" s="489">
        <v>4.3</v>
      </c>
      <c r="F11" s="397" t="s">
        <v>343</v>
      </c>
      <c r="G11" s="94"/>
      <c r="H11" s="94"/>
      <c r="I11" s="94"/>
      <c r="J11" s="94"/>
      <c r="K11" s="94"/>
      <c r="L11" s="475"/>
      <c r="M11" s="94"/>
      <c r="N11" s="94"/>
      <c r="O11" s="94"/>
      <c r="P11" s="94"/>
      <c r="Q11" s="94"/>
      <c r="R11" s="94"/>
      <c r="S11" s="94"/>
      <c r="T11" s="94"/>
      <c r="U11" s="94"/>
      <c r="V11" s="481"/>
      <c r="W11" s="481"/>
    </row>
    <row r="12" spans="2:23" ht="15">
      <c r="B12" s="475"/>
      <c r="C12" s="392" t="s">
        <v>449</v>
      </c>
      <c r="D12" s="293" t="s">
        <v>428</v>
      </c>
      <c r="E12" s="489">
        <v>165</v>
      </c>
      <c r="F12" s="396" t="s">
        <v>333</v>
      </c>
      <c r="G12" s="94"/>
      <c r="H12" s="94"/>
      <c r="I12" s="94"/>
      <c r="J12" s="94"/>
      <c r="K12" s="94"/>
      <c r="L12" s="475"/>
      <c r="M12" s="94"/>
      <c r="N12" s="94"/>
      <c r="O12" s="94"/>
      <c r="P12" s="94"/>
      <c r="Q12" s="94"/>
      <c r="R12" s="94"/>
      <c r="S12" s="94"/>
      <c r="T12" s="94"/>
      <c r="U12" s="94"/>
      <c r="V12" s="481"/>
      <c r="W12" s="481"/>
    </row>
    <row r="13" spans="2:23" ht="15">
      <c r="B13" s="475"/>
      <c r="C13" s="392" t="s">
        <v>450</v>
      </c>
      <c r="D13" s="293" t="s">
        <v>451</v>
      </c>
      <c r="E13" s="489">
        <v>30</v>
      </c>
      <c r="F13" s="397" t="s">
        <v>343</v>
      </c>
      <c r="G13" s="94"/>
      <c r="H13" s="94"/>
      <c r="I13" s="94"/>
      <c r="J13" s="94"/>
      <c r="K13" s="94"/>
      <c r="L13" s="475">
        <v>500</v>
      </c>
      <c r="M13" s="94"/>
      <c r="N13" s="94"/>
      <c r="O13" s="94"/>
      <c r="P13" s="94" t="s">
        <v>454</v>
      </c>
      <c r="Q13" s="94"/>
      <c r="R13" s="94"/>
      <c r="S13" s="94"/>
      <c r="T13" s="94"/>
      <c r="U13" s="94"/>
      <c r="V13" s="481"/>
      <c r="W13" s="481"/>
    </row>
    <row r="14" spans="2:23" ht="15">
      <c r="B14" s="475"/>
      <c r="C14" s="492" t="s">
        <v>452</v>
      </c>
      <c r="D14" s="293" t="s">
        <v>453</v>
      </c>
      <c r="E14" s="489">
        <v>130</v>
      </c>
      <c r="F14" s="396" t="s">
        <v>356</v>
      </c>
      <c r="G14" s="94"/>
      <c r="H14" s="94"/>
      <c r="I14" s="94"/>
      <c r="J14" s="94"/>
      <c r="K14" s="94"/>
      <c r="L14" s="475"/>
      <c r="M14" s="94"/>
      <c r="N14" s="94"/>
      <c r="O14" s="293">
        <f>E10</f>
        <v>450</v>
      </c>
      <c r="P14" s="94"/>
      <c r="Q14" s="94"/>
      <c r="R14" s="94"/>
      <c r="S14" s="94"/>
      <c r="T14" s="94"/>
      <c r="U14" s="94"/>
      <c r="V14" s="481"/>
      <c r="W14" s="481"/>
    </row>
    <row r="15" spans="2:23" ht="15" customHeight="1">
      <c r="B15" s="475"/>
      <c r="C15" s="392" t="s">
        <v>455</v>
      </c>
      <c r="D15" s="14" t="s">
        <v>456</v>
      </c>
      <c r="E15" s="489">
        <v>0.74</v>
      </c>
      <c r="F15" s="396" t="s">
        <v>333</v>
      </c>
      <c r="G15" s="94"/>
      <c r="H15" s="94"/>
      <c r="I15" s="94"/>
      <c r="J15" s="94"/>
      <c r="K15" s="94"/>
      <c r="L15" s="475">
        <v>400</v>
      </c>
      <c r="M15" s="94"/>
      <c r="N15" s="94"/>
      <c r="O15" s="94"/>
      <c r="P15" s="94"/>
      <c r="Q15" s="94"/>
      <c r="R15" s="94"/>
      <c r="S15" s="94"/>
      <c r="T15" s="94"/>
      <c r="U15" s="94"/>
      <c r="V15" s="481"/>
      <c r="W15" s="481"/>
    </row>
    <row r="16" spans="2:23" ht="15">
      <c r="B16" s="475"/>
      <c r="C16" s="393" t="s">
        <v>457</v>
      </c>
      <c r="D16" s="14" t="s">
        <v>458</v>
      </c>
      <c r="E16" s="489">
        <v>0.94</v>
      </c>
      <c r="F16" s="396" t="s">
        <v>333</v>
      </c>
      <c r="G16" s="94"/>
      <c r="H16" s="94"/>
      <c r="I16" s="94"/>
      <c r="J16" s="94"/>
      <c r="K16" s="94"/>
      <c r="L16" s="475"/>
      <c r="M16" s="94"/>
      <c r="N16" s="94"/>
      <c r="O16" s="308">
        <f>H32</f>
        <v>412.64726068365735</v>
      </c>
      <c r="P16" s="94"/>
      <c r="Q16" s="94"/>
      <c r="R16" s="94"/>
      <c r="S16" s="94"/>
      <c r="T16" s="94"/>
      <c r="U16" s="94"/>
      <c r="V16" s="481"/>
      <c r="W16" s="481"/>
    </row>
    <row r="17" spans="2:23" ht="15">
      <c r="B17" s="475"/>
      <c r="C17" s="394" t="s">
        <v>459</v>
      </c>
      <c r="D17" s="493" t="s">
        <v>460</v>
      </c>
      <c r="E17" s="490">
        <v>75</v>
      </c>
      <c r="F17" s="398" t="s">
        <v>461</v>
      </c>
      <c r="G17" s="94"/>
      <c r="I17" s="94"/>
      <c r="J17" s="94"/>
      <c r="K17" s="94"/>
      <c r="L17" s="475">
        <v>300</v>
      </c>
      <c r="M17" s="94"/>
      <c r="N17" s="94"/>
      <c r="O17" s="94"/>
      <c r="P17" s="94"/>
      <c r="Q17" s="94"/>
      <c r="R17" s="94"/>
      <c r="S17" s="94"/>
      <c r="T17" s="94"/>
      <c r="U17" s="94"/>
      <c r="V17" s="481"/>
      <c r="W17" s="481"/>
    </row>
    <row r="18" spans="2:23" ht="12.75">
      <c r="B18" s="475"/>
      <c r="C18" s="94" t="s">
        <v>744</v>
      </c>
      <c r="D18" s="293"/>
      <c r="E18" s="94"/>
      <c r="F18" s="94"/>
      <c r="G18" s="94"/>
      <c r="H18" s="94"/>
      <c r="I18" s="94"/>
      <c r="J18" s="94"/>
      <c r="K18" s="94"/>
      <c r="L18" s="475"/>
      <c r="M18" s="94"/>
      <c r="N18" s="94"/>
      <c r="O18" s="525">
        <f>H29</f>
        <v>277.7342333031929</v>
      </c>
      <c r="P18" s="94"/>
      <c r="Q18" s="94"/>
      <c r="R18" s="94"/>
      <c r="S18" s="94"/>
      <c r="T18" s="94"/>
      <c r="U18" s="94"/>
      <c r="V18" s="481"/>
      <c r="W18" s="481"/>
    </row>
    <row r="19" spans="2:23" ht="16.5" customHeight="1">
      <c r="B19" s="475"/>
      <c r="C19" s="94" t="s">
        <v>462</v>
      </c>
      <c r="D19" s="293"/>
      <c r="E19" s="94"/>
      <c r="F19" s="94"/>
      <c r="G19" s="94"/>
      <c r="H19" s="94"/>
      <c r="I19" s="94"/>
      <c r="J19" s="94"/>
      <c r="K19" s="94"/>
      <c r="L19" s="475">
        <v>200</v>
      </c>
      <c r="M19" s="94"/>
      <c r="N19" s="94"/>
      <c r="O19" s="94"/>
      <c r="P19" s="94"/>
      <c r="Q19" s="94"/>
      <c r="R19" s="94"/>
      <c r="S19" s="94"/>
      <c r="T19" s="94"/>
      <c r="U19" s="94"/>
      <c r="V19" s="481"/>
      <c r="W19" s="481"/>
    </row>
    <row r="20" spans="2:23" ht="12.75">
      <c r="B20" s="475"/>
      <c r="C20" s="94"/>
      <c r="D20" s="293"/>
      <c r="E20" s="94"/>
      <c r="F20" s="94"/>
      <c r="G20" s="94"/>
      <c r="H20" s="94"/>
      <c r="I20" s="94"/>
      <c r="J20" s="94"/>
      <c r="K20" s="94"/>
      <c r="L20" s="475"/>
      <c r="M20" s="94"/>
      <c r="N20" s="94"/>
      <c r="O20" s="293">
        <f>E12</f>
        <v>165</v>
      </c>
      <c r="P20" s="94" t="s">
        <v>54</v>
      </c>
      <c r="Q20" s="94"/>
      <c r="R20" s="94"/>
      <c r="S20" s="94"/>
      <c r="T20" s="94"/>
      <c r="U20" s="94"/>
      <c r="V20" s="481"/>
      <c r="W20" s="481"/>
    </row>
    <row r="21" spans="2:23" ht="12.75">
      <c r="B21" s="475"/>
      <c r="C21" s="494" t="s">
        <v>401</v>
      </c>
      <c r="D21" s="296"/>
      <c r="E21" s="297"/>
      <c r="F21" s="297"/>
      <c r="G21" s="297"/>
      <c r="H21" s="297"/>
      <c r="I21" s="309"/>
      <c r="J21" s="94"/>
      <c r="K21" s="94"/>
      <c r="L21" s="475">
        <v>100</v>
      </c>
      <c r="M21" s="94"/>
      <c r="N21" s="94"/>
      <c r="O21" s="308">
        <f>H31</f>
        <v>146.23827566767682</v>
      </c>
      <c r="P21" s="94"/>
      <c r="Q21" s="94"/>
      <c r="R21" s="94"/>
      <c r="S21" s="94"/>
      <c r="T21" s="94"/>
      <c r="U21" s="94"/>
      <c r="V21" s="481"/>
      <c r="W21" s="481"/>
    </row>
    <row r="22" spans="2:23" ht="12.75">
      <c r="B22" s="475"/>
      <c r="C22" s="94"/>
      <c r="D22" s="293"/>
      <c r="E22" s="94"/>
      <c r="F22" s="94"/>
      <c r="G22" s="94"/>
      <c r="H22" s="94"/>
      <c r="I22" s="94"/>
      <c r="J22" s="94"/>
      <c r="K22" s="94"/>
      <c r="L22" s="475"/>
      <c r="M22" s="94"/>
      <c r="N22" s="94"/>
      <c r="O22" s="94"/>
      <c r="P22" s="94"/>
      <c r="Q22" s="94"/>
      <c r="R22" s="94"/>
      <c r="S22" s="94"/>
      <c r="T22" s="94"/>
      <c r="U22" s="94"/>
      <c r="V22" s="481"/>
      <c r="W22" s="481"/>
    </row>
    <row r="23" spans="2:23" ht="12.75">
      <c r="B23" s="475"/>
      <c r="C23" s="526" t="s">
        <v>656</v>
      </c>
      <c r="D23" s="498"/>
      <c r="E23" s="527"/>
      <c r="F23" s="527"/>
      <c r="G23" s="527"/>
      <c r="H23" s="527"/>
      <c r="I23" s="508"/>
      <c r="J23" s="94"/>
      <c r="K23" s="94"/>
      <c r="L23" s="475"/>
      <c r="M23" s="94"/>
      <c r="N23" s="94"/>
      <c r="O23" s="94"/>
      <c r="P23" s="94"/>
      <c r="Q23" s="94"/>
      <c r="R23" s="94"/>
      <c r="S23" s="94"/>
      <c r="T23" s="94"/>
      <c r="U23" s="94"/>
      <c r="V23" s="481"/>
      <c r="W23" s="481"/>
    </row>
    <row r="24" spans="2:23" ht="15">
      <c r="B24" s="475"/>
      <c r="C24" s="392" t="s">
        <v>463</v>
      </c>
      <c r="D24" s="293" t="s">
        <v>403</v>
      </c>
      <c r="E24" s="94" t="s">
        <v>464</v>
      </c>
      <c r="F24" s="94"/>
      <c r="G24" s="94"/>
      <c r="H24" s="543">
        <f>H2O_Enthalpy_t_p(E10,E9)</f>
        <v>3299.871291261393</v>
      </c>
      <c r="I24" s="530" t="s">
        <v>195</v>
      </c>
      <c r="J24" s="94"/>
      <c r="K24" s="94"/>
      <c r="L24" s="475">
        <v>0</v>
      </c>
      <c r="M24" s="94">
        <v>1</v>
      </c>
      <c r="N24" s="94">
        <v>2</v>
      </c>
      <c r="O24" s="94">
        <v>3</v>
      </c>
      <c r="P24" s="94">
        <v>4</v>
      </c>
      <c r="Q24" s="94">
        <v>5</v>
      </c>
      <c r="R24" s="94">
        <v>6</v>
      </c>
      <c r="S24" s="94">
        <v>7</v>
      </c>
      <c r="T24" s="94"/>
      <c r="U24" s="94"/>
      <c r="V24" s="481"/>
      <c r="W24" s="481"/>
    </row>
    <row r="25" spans="2:23" ht="15">
      <c r="B25" s="475"/>
      <c r="C25" s="392" t="s">
        <v>424</v>
      </c>
      <c r="D25" s="293" t="s">
        <v>425</v>
      </c>
      <c r="E25" s="94" t="s">
        <v>465</v>
      </c>
      <c r="F25" s="94"/>
      <c r="G25" s="94"/>
      <c r="H25" s="543">
        <f>H2O_Enthalpy_t_p(E12,E11)</f>
        <v>2784.030887271214</v>
      </c>
      <c r="I25" s="530" t="s">
        <v>195</v>
      </c>
      <c r="J25" s="307"/>
      <c r="K25" s="94"/>
      <c r="L25" s="475"/>
      <c r="M25" s="94"/>
      <c r="N25" s="94"/>
      <c r="O25" s="94"/>
      <c r="P25" s="94"/>
      <c r="Q25" s="94"/>
      <c r="R25" s="94"/>
      <c r="S25" s="94"/>
      <c r="T25" s="94"/>
      <c r="U25" s="94"/>
      <c r="V25" s="481"/>
      <c r="W25" s="481"/>
    </row>
    <row r="26" spans="2:23" ht="15.75">
      <c r="B26" s="475"/>
      <c r="C26" s="393" t="s">
        <v>743</v>
      </c>
      <c r="D26" s="311" t="s">
        <v>406</v>
      </c>
      <c r="E26" s="312" t="s">
        <v>466</v>
      </c>
      <c r="F26" s="94"/>
      <c r="G26" s="94"/>
      <c r="H26" s="544">
        <f>H2O_Entropy_t_p(E10,E9)</f>
        <v>6.703457920032256</v>
      </c>
      <c r="I26" s="397" t="s">
        <v>38</v>
      </c>
      <c r="J26" s="94"/>
      <c r="K26" s="94"/>
      <c r="L26" s="475"/>
      <c r="M26" s="94" t="s">
        <v>469</v>
      </c>
      <c r="N26" s="94"/>
      <c r="O26" s="94"/>
      <c r="P26" s="94"/>
      <c r="Q26" s="94"/>
      <c r="R26" s="94" t="s">
        <v>470</v>
      </c>
      <c r="S26" s="94"/>
      <c r="T26" s="94"/>
      <c r="U26" s="94"/>
      <c r="V26" s="481"/>
      <c r="W26" s="481"/>
    </row>
    <row r="27" spans="2:23" ht="15.75">
      <c r="B27" s="475"/>
      <c r="C27" s="393" t="s">
        <v>467</v>
      </c>
      <c r="D27" s="293" t="s">
        <v>438</v>
      </c>
      <c r="E27" s="313" t="s">
        <v>468</v>
      </c>
      <c r="F27" s="20"/>
      <c r="G27" s="20"/>
      <c r="H27" s="544">
        <f>H2O_Entropy_t_p(E12,E11)</f>
        <v>6.970811736854934</v>
      </c>
      <c r="I27" s="397" t="s">
        <v>38</v>
      </c>
      <c r="J27" s="94"/>
      <c r="K27" s="94"/>
      <c r="L27" s="475"/>
      <c r="M27" s="94"/>
      <c r="N27" s="302">
        <f>H55</f>
        <v>130.4942696484361</v>
      </c>
      <c r="O27" s="94"/>
      <c r="P27" s="94"/>
      <c r="Q27" s="94"/>
      <c r="R27" s="94" t="s">
        <v>474</v>
      </c>
      <c r="S27" s="94"/>
      <c r="T27" s="94"/>
      <c r="U27" s="94"/>
      <c r="V27" s="481"/>
      <c r="W27" s="481"/>
    </row>
    <row r="28" spans="2:23" ht="15.75">
      <c r="B28" s="475"/>
      <c r="C28" s="393" t="s">
        <v>471</v>
      </c>
      <c r="D28" s="293" t="s">
        <v>472</v>
      </c>
      <c r="E28" s="312" t="s">
        <v>473</v>
      </c>
      <c r="F28" s="94"/>
      <c r="G28" s="94"/>
      <c r="H28" s="544">
        <f>SaturSteam_Entropy_p(E9)</f>
        <v>5.874423091114602</v>
      </c>
      <c r="I28" s="397" t="s">
        <v>38</v>
      </c>
      <c r="J28" s="94"/>
      <c r="K28" s="94"/>
      <c r="L28" s="475"/>
      <c r="M28" s="94"/>
      <c r="N28" s="94"/>
      <c r="O28" s="94"/>
      <c r="P28" s="94"/>
      <c r="Q28" s="94"/>
      <c r="R28" s="94" t="s">
        <v>478</v>
      </c>
      <c r="S28" s="94"/>
      <c r="T28" s="94"/>
      <c r="U28" s="94"/>
      <c r="V28" s="481"/>
      <c r="W28" s="481"/>
    </row>
    <row r="29" spans="2:23" ht="15.75">
      <c r="B29" s="475"/>
      <c r="C29" s="393" t="s">
        <v>475</v>
      </c>
      <c r="D29" s="311" t="s">
        <v>476</v>
      </c>
      <c r="E29" s="314" t="s">
        <v>477</v>
      </c>
      <c r="F29" s="94"/>
      <c r="G29" s="94"/>
      <c r="H29" s="545">
        <f>H2O_SaturationTemp_p(E9)</f>
        <v>277.7342333031929</v>
      </c>
      <c r="I29" s="397" t="s">
        <v>36</v>
      </c>
      <c r="J29" s="94"/>
      <c r="K29" s="94"/>
      <c r="L29" s="475"/>
      <c r="M29" s="94"/>
      <c r="N29" s="302">
        <f>E14</f>
        <v>130</v>
      </c>
      <c r="O29" s="94"/>
      <c r="P29" s="94"/>
      <c r="Q29" s="94"/>
      <c r="R29" s="94" t="s">
        <v>482</v>
      </c>
      <c r="S29" s="94"/>
      <c r="T29" s="94"/>
      <c r="U29" s="94"/>
      <c r="V29" s="481"/>
      <c r="W29" s="481"/>
    </row>
    <row r="30" spans="2:23" ht="15.75">
      <c r="B30" s="475"/>
      <c r="C30" s="393" t="s">
        <v>479</v>
      </c>
      <c r="D30" s="293" t="s">
        <v>480</v>
      </c>
      <c r="E30" s="312" t="s">
        <v>481</v>
      </c>
      <c r="F30" s="94"/>
      <c r="G30" s="94"/>
      <c r="H30" s="544">
        <f>SaturSteam_Entropy_p(E11)</f>
        <v>6.871195116925664</v>
      </c>
      <c r="I30" s="397" t="s">
        <v>38</v>
      </c>
      <c r="J30" s="94"/>
      <c r="K30" s="94"/>
      <c r="L30" s="475"/>
      <c r="M30" s="94"/>
      <c r="N30" s="94"/>
      <c r="O30" s="94"/>
      <c r="P30" s="94"/>
      <c r="Q30" s="94"/>
      <c r="R30" s="94" t="s">
        <v>486</v>
      </c>
      <c r="S30" s="94"/>
      <c r="T30" s="94"/>
      <c r="U30" s="94"/>
      <c r="V30" s="481"/>
      <c r="W30" s="481"/>
    </row>
    <row r="31" spans="2:23" ht="15.75">
      <c r="B31" s="475"/>
      <c r="C31" s="393" t="s">
        <v>483</v>
      </c>
      <c r="D31" s="293" t="s">
        <v>484</v>
      </c>
      <c r="E31" s="314" t="s">
        <v>485</v>
      </c>
      <c r="F31" s="94"/>
      <c r="G31" s="94"/>
      <c r="H31" s="545">
        <f>H2O_SaturationTemp_p(E11)</f>
        <v>146.23827566767682</v>
      </c>
      <c r="I31" s="397" t="s">
        <v>36</v>
      </c>
      <c r="J31" s="94"/>
      <c r="K31" s="94"/>
      <c r="L31" s="475"/>
      <c r="M31" s="94"/>
      <c r="N31" s="94"/>
      <c r="O31" s="94"/>
      <c r="P31" s="94"/>
      <c r="Q31" s="94"/>
      <c r="R31" s="94" t="s">
        <v>490</v>
      </c>
      <c r="S31" s="94"/>
      <c r="T31" s="94"/>
      <c r="U31" s="94"/>
      <c r="V31" s="481"/>
      <c r="W31" s="481"/>
    </row>
    <row r="32" spans="2:23" ht="15.75">
      <c r="B32" s="475"/>
      <c r="C32" s="394" t="s">
        <v>487</v>
      </c>
      <c r="D32" s="493" t="s">
        <v>488</v>
      </c>
      <c r="E32" s="529" t="s">
        <v>489</v>
      </c>
      <c r="F32" s="529"/>
      <c r="G32" s="529"/>
      <c r="H32" s="545">
        <f>H2O_Temperature_p_h(E11,H24)</f>
        <v>412.64726068365735</v>
      </c>
      <c r="I32" s="509" t="s">
        <v>36</v>
      </c>
      <c r="J32" s="94"/>
      <c r="K32" s="94"/>
      <c r="L32" s="475"/>
      <c r="M32" s="94"/>
      <c r="N32" s="94"/>
      <c r="O32" s="94"/>
      <c r="P32" s="94"/>
      <c r="Q32" s="94"/>
      <c r="R32" s="94" t="s">
        <v>491</v>
      </c>
      <c r="S32" s="94"/>
      <c r="T32" s="94"/>
      <c r="U32" s="94"/>
      <c r="V32" s="481"/>
      <c r="W32" s="481"/>
    </row>
    <row r="33" spans="2:23" ht="15.75">
      <c r="B33" s="475"/>
      <c r="C33" s="94"/>
      <c r="D33" s="293"/>
      <c r="E33" s="94"/>
      <c r="F33" s="94"/>
      <c r="G33" s="94"/>
      <c r="H33" s="94"/>
      <c r="I33" s="94"/>
      <c r="J33" s="94"/>
      <c r="K33" s="94"/>
      <c r="L33" s="475"/>
      <c r="M33" s="94"/>
      <c r="N33" s="94"/>
      <c r="O33" s="94"/>
      <c r="P33" s="94"/>
      <c r="Q33" s="94"/>
      <c r="R33" s="94" t="s">
        <v>493</v>
      </c>
      <c r="S33" s="94"/>
      <c r="T33" s="94"/>
      <c r="U33" s="94"/>
      <c r="V33" s="481"/>
      <c r="W33" s="481"/>
    </row>
    <row r="34" spans="2:23" ht="15.75">
      <c r="B34" s="475"/>
      <c r="C34" s="526" t="s">
        <v>492</v>
      </c>
      <c r="D34" s="498"/>
      <c r="E34" s="527"/>
      <c r="F34" s="527"/>
      <c r="G34" s="527"/>
      <c r="H34" s="527"/>
      <c r="I34" s="508"/>
      <c r="J34" s="94"/>
      <c r="K34" s="94"/>
      <c r="L34" s="475"/>
      <c r="M34" s="94"/>
      <c r="N34" s="94"/>
      <c r="O34" s="94"/>
      <c r="P34" s="94"/>
      <c r="Q34" s="94"/>
      <c r="R34" s="94"/>
      <c r="S34" s="94"/>
      <c r="T34" s="94"/>
      <c r="U34" s="94"/>
      <c r="V34" s="481"/>
      <c r="W34" s="481"/>
    </row>
    <row r="35" spans="2:23" ht="15.75">
      <c r="B35" s="475"/>
      <c r="C35" s="393" t="s">
        <v>494</v>
      </c>
      <c r="D35" s="293" t="s">
        <v>495</v>
      </c>
      <c r="E35" s="94" t="s">
        <v>496</v>
      </c>
      <c r="F35" s="94"/>
      <c r="G35" s="94"/>
      <c r="H35" s="543">
        <f>SaturWater_Enthalpy_t(E14)</f>
        <v>546.3878367748963</v>
      </c>
      <c r="I35" s="530" t="s">
        <v>195</v>
      </c>
      <c r="J35" s="307" t="s">
        <v>54</v>
      </c>
      <c r="K35" s="94"/>
      <c r="L35" s="475"/>
      <c r="M35" s="94"/>
      <c r="N35" s="94"/>
      <c r="O35" s="94"/>
      <c r="P35" s="94"/>
      <c r="Q35" s="94"/>
      <c r="R35" s="94"/>
      <c r="S35" s="94"/>
      <c r="T35" s="94"/>
      <c r="U35" s="94"/>
      <c r="V35" s="481"/>
      <c r="W35" s="481"/>
    </row>
    <row r="36" spans="2:23" ht="15.75">
      <c r="B36" s="475"/>
      <c r="C36" s="393" t="s">
        <v>497</v>
      </c>
      <c r="D36" s="293" t="s">
        <v>498</v>
      </c>
      <c r="E36" s="94" t="s">
        <v>499</v>
      </c>
      <c r="F36" s="94"/>
      <c r="G36" s="94"/>
      <c r="H36" s="546">
        <f>H2O_SaturationPressure_t(E14)</f>
        <v>2.7025960655999848</v>
      </c>
      <c r="I36" s="531" t="s">
        <v>50</v>
      </c>
      <c r="J36" s="307" t="s">
        <v>54</v>
      </c>
      <c r="K36" s="94"/>
      <c r="L36" s="475"/>
      <c r="M36" s="94"/>
      <c r="N36" s="94"/>
      <c r="O36" s="94"/>
      <c r="P36" s="94"/>
      <c r="Q36" s="94" t="s">
        <v>346</v>
      </c>
      <c r="R36" s="94"/>
      <c r="S36" s="94"/>
      <c r="T36" s="94"/>
      <c r="U36" s="94"/>
      <c r="V36" s="481"/>
      <c r="W36" s="481"/>
    </row>
    <row r="37" spans="2:23" ht="16.5" thickBot="1">
      <c r="B37" s="475"/>
      <c r="C37" s="528" t="s">
        <v>500</v>
      </c>
      <c r="D37" s="493" t="s">
        <v>501</v>
      </c>
      <c r="E37" s="529" t="s">
        <v>502</v>
      </c>
      <c r="F37" s="529"/>
      <c r="G37" s="529"/>
      <c r="H37" s="547">
        <f>SaturWater_Entropy_t(E14)</f>
        <v>1.6346312702943462</v>
      </c>
      <c r="I37" s="532" t="s">
        <v>38</v>
      </c>
      <c r="J37" s="307" t="s">
        <v>54</v>
      </c>
      <c r="K37" s="94"/>
      <c r="L37" s="478"/>
      <c r="M37" s="479"/>
      <c r="N37" s="479" t="s">
        <v>503</v>
      </c>
      <c r="O37" s="479"/>
      <c r="P37" s="479"/>
      <c r="Q37" s="479"/>
      <c r="R37" s="479"/>
      <c r="S37" s="479"/>
      <c r="T37" s="479"/>
      <c r="U37" s="479"/>
      <c r="V37" s="482"/>
      <c r="W37" s="481"/>
    </row>
    <row r="38" spans="2:23" ht="13.5" customHeight="1" thickBot="1" thickTop="1">
      <c r="B38" s="478"/>
      <c r="C38" s="479"/>
      <c r="D38" s="488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82"/>
    </row>
    <row r="39" spans="4:13" ht="13.5" thickTop="1">
      <c r="D39" s="122"/>
      <c r="M39" s="315"/>
    </row>
    <row r="40" ht="13.5" thickBot="1">
      <c r="D40" s="122"/>
    </row>
    <row r="41" spans="1:30" ht="13.5" thickTop="1">
      <c r="A41" s="476"/>
      <c r="B41" s="476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80"/>
      <c r="X41" s="94"/>
      <c r="Y41" s="94"/>
      <c r="Z41" s="94"/>
      <c r="AA41" s="94"/>
      <c r="AB41" s="94"/>
      <c r="AC41" s="94"/>
      <c r="AD41" s="94"/>
    </row>
    <row r="42" spans="1:30" ht="12.75">
      <c r="A42" s="475"/>
      <c r="B42" s="475"/>
      <c r="C42" s="526" t="s">
        <v>504</v>
      </c>
      <c r="D42" s="498"/>
      <c r="E42" s="527"/>
      <c r="F42" s="527"/>
      <c r="G42" s="527"/>
      <c r="H42" s="527"/>
      <c r="I42" s="508"/>
      <c r="J42" s="94"/>
      <c r="K42" s="94"/>
      <c r="L42" s="526" t="s">
        <v>539</v>
      </c>
      <c r="M42" s="527"/>
      <c r="N42" s="527"/>
      <c r="O42" s="527"/>
      <c r="P42" s="498"/>
      <c r="Q42" s="527"/>
      <c r="R42" s="508"/>
      <c r="S42" s="94"/>
      <c r="T42" s="94"/>
      <c r="U42" s="94"/>
      <c r="V42" s="94"/>
      <c r="W42" s="481"/>
      <c r="X42" s="94"/>
      <c r="Y42" s="94"/>
      <c r="Z42" s="94"/>
      <c r="AA42" s="94"/>
      <c r="AB42" s="94"/>
      <c r="AC42" s="94"/>
      <c r="AD42" s="94"/>
    </row>
    <row r="43" spans="1:30" ht="15">
      <c r="A43" s="475"/>
      <c r="B43" s="475"/>
      <c r="C43" s="392" t="s">
        <v>759</v>
      </c>
      <c r="D43" s="293" t="s">
        <v>505</v>
      </c>
      <c r="E43" s="94" t="s">
        <v>760</v>
      </c>
      <c r="F43" s="94"/>
      <c r="G43" s="94"/>
      <c r="H43" s="546">
        <f>H37</f>
        <v>1.6346312702943462</v>
      </c>
      <c r="I43" s="531" t="s">
        <v>38</v>
      </c>
      <c r="J43" s="483"/>
      <c r="K43" s="94"/>
      <c r="L43" s="542" t="s">
        <v>540</v>
      </c>
      <c r="M43" s="94"/>
      <c r="N43" s="94"/>
      <c r="O43" s="94"/>
      <c r="P43" s="94"/>
      <c r="Q43" s="94"/>
      <c r="R43" s="397"/>
      <c r="S43" s="94"/>
      <c r="T43" s="94"/>
      <c r="U43" s="94"/>
      <c r="V43" s="94"/>
      <c r="W43" s="481"/>
      <c r="X43" s="94"/>
      <c r="Y43" s="94"/>
      <c r="Z43" s="94"/>
      <c r="AA43" s="94"/>
      <c r="AB43" s="94"/>
      <c r="AC43" s="94"/>
      <c r="AD43" s="94"/>
    </row>
    <row r="44" spans="1:30" ht="15">
      <c r="A44" s="475"/>
      <c r="B44" s="475"/>
      <c r="C44" s="392" t="s">
        <v>506</v>
      </c>
      <c r="D44" s="293" t="s">
        <v>507</v>
      </c>
      <c r="E44" s="298" t="s">
        <v>761</v>
      </c>
      <c r="F44" s="94"/>
      <c r="G44" s="94"/>
      <c r="H44" s="543">
        <f>H2O_Enthalpy_p_s(E13,H43)</f>
        <v>549.3135317992424</v>
      </c>
      <c r="I44" s="530" t="s">
        <v>195</v>
      </c>
      <c r="J44" s="307" t="s">
        <v>54</v>
      </c>
      <c r="K44" s="94"/>
      <c r="L44" s="542"/>
      <c r="M44" s="94"/>
      <c r="N44" s="94"/>
      <c r="O44" s="94"/>
      <c r="P44" s="293" t="s">
        <v>541</v>
      </c>
      <c r="Q44" s="94" t="s">
        <v>542</v>
      </c>
      <c r="R44" s="397"/>
      <c r="S44" s="94"/>
      <c r="T44" s="94"/>
      <c r="U44" s="94"/>
      <c r="V44" s="94"/>
      <c r="W44" s="481"/>
      <c r="X44" s="94"/>
      <c r="Y44" s="94"/>
      <c r="Z44" s="94"/>
      <c r="AA44" s="94"/>
      <c r="AB44" s="94"/>
      <c r="AC44" s="94"/>
      <c r="AD44" s="94"/>
    </row>
    <row r="45" spans="1:30" ht="15">
      <c r="A45" s="475"/>
      <c r="B45" s="475"/>
      <c r="C45" s="551" t="s">
        <v>508</v>
      </c>
      <c r="D45" s="14" t="s">
        <v>415</v>
      </c>
      <c r="E45" s="94" t="s">
        <v>509</v>
      </c>
      <c r="F45" s="94"/>
      <c r="G45" s="94"/>
      <c r="H45" s="549">
        <f>H44-H35</f>
        <v>2.925695024346055</v>
      </c>
      <c r="I45" s="530" t="s">
        <v>195</v>
      </c>
      <c r="J45" s="307"/>
      <c r="K45" s="94"/>
      <c r="L45" s="393" t="s">
        <v>543</v>
      </c>
      <c r="M45" s="94"/>
      <c r="N45" s="94"/>
      <c r="O45" s="94"/>
      <c r="P45" s="293" t="s">
        <v>529</v>
      </c>
      <c r="Q45" s="213">
        <f>E93</f>
        <v>4.811176989016288</v>
      </c>
      <c r="R45" s="397" t="s">
        <v>535</v>
      </c>
      <c r="S45" s="94"/>
      <c r="T45" s="94"/>
      <c r="U45" s="94"/>
      <c r="V45" s="94"/>
      <c r="W45" s="481"/>
      <c r="X45" s="94"/>
      <c r="Y45" s="94"/>
      <c r="Z45" s="94"/>
      <c r="AA45" s="94"/>
      <c r="AB45" s="94"/>
      <c r="AC45" s="94"/>
      <c r="AD45" s="94"/>
    </row>
    <row r="46" spans="1:30" ht="12.75">
      <c r="A46" s="475"/>
      <c r="B46" s="475"/>
      <c r="C46" s="393" t="s">
        <v>510</v>
      </c>
      <c r="D46" s="293"/>
      <c r="E46" s="94"/>
      <c r="F46" s="94"/>
      <c r="G46" s="94"/>
      <c r="H46" s="64"/>
      <c r="I46" s="397"/>
      <c r="J46" s="94"/>
      <c r="K46" s="94"/>
      <c r="L46" s="393" t="s">
        <v>512</v>
      </c>
      <c r="M46" s="94"/>
      <c r="N46" s="94"/>
      <c r="O46" s="94"/>
      <c r="P46" s="14" t="s">
        <v>513</v>
      </c>
      <c r="Q46" s="213">
        <f>H48</f>
        <v>3.9536419247919663</v>
      </c>
      <c r="R46" s="530" t="s">
        <v>195</v>
      </c>
      <c r="S46" s="94"/>
      <c r="T46" s="94"/>
      <c r="U46" s="94"/>
      <c r="V46" s="94"/>
      <c r="W46" s="481"/>
      <c r="X46" s="94"/>
      <c r="Y46" s="94"/>
      <c r="Z46" s="94"/>
      <c r="AA46" s="94"/>
      <c r="AB46" s="94"/>
      <c r="AC46" s="94"/>
      <c r="AD46" s="94"/>
    </row>
    <row r="47" spans="1:30" ht="15">
      <c r="A47" s="475"/>
      <c r="B47" s="475"/>
      <c r="C47" s="393" t="s">
        <v>511</v>
      </c>
      <c r="D47" s="14" t="s">
        <v>456</v>
      </c>
      <c r="E47" s="14" t="s">
        <v>762</v>
      </c>
      <c r="F47" s="94"/>
      <c r="G47" s="94"/>
      <c r="H47" s="550">
        <f>E15</f>
        <v>0.74</v>
      </c>
      <c r="I47" s="397" t="s">
        <v>370</v>
      </c>
      <c r="J47" s="94"/>
      <c r="K47" s="94"/>
      <c r="L47" s="393" t="s">
        <v>539</v>
      </c>
      <c r="M47" s="94"/>
      <c r="N47" s="94"/>
      <c r="O47" s="94"/>
      <c r="P47" s="293" t="s">
        <v>541</v>
      </c>
      <c r="Q47" s="94" t="s">
        <v>542</v>
      </c>
      <c r="R47" s="397"/>
      <c r="S47" s="94"/>
      <c r="T47" s="94"/>
      <c r="U47" s="94"/>
      <c r="V47" s="94"/>
      <c r="W47" s="481"/>
      <c r="X47" s="94"/>
      <c r="Y47" s="94"/>
      <c r="Z47" s="94"/>
      <c r="AA47" s="94"/>
      <c r="AB47" s="94"/>
      <c r="AC47" s="94"/>
      <c r="AD47" s="94"/>
    </row>
    <row r="48" spans="1:30" ht="15">
      <c r="A48" s="475"/>
      <c r="B48" s="475"/>
      <c r="C48" s="394" t="s">
        <v>512</v>
      </c>
      <c r="D48" s="395" t="s">
        <v>513</v>
      </c>
      <c r="E48" s="552" t="s">
        <v>514</v>
      </c>
      <c r="F48" s="552"/>
      <c r="G48" s="552"/>
      <c r="H48" s="549">
        <f>H45/H47</f>
        <v>3.9536419247919663</v>
      </c>
      <c r="I48" s="553" t="s">
        <v>195</v>
      </c>
      <c r="J48" s="307"/>
      <c r="K48" s="94"/>
      <c r="L48" s="394"/>
      <c r="M48" s="529"/>
      <c r="N48" s="529"/>
      <c r="O48" s="529"/>
      <c r="P48" s="493" t="s">
        <v>541</v>
      </c>
      <c r="Q48" s="563">
        <f>Q45*Q46</f>
        <v>19.021671051369175</v>
      </c>
      <c r="R48" s="509" t="s">
        <v>544</v>
      </c>
      <c r="S48" s="94"/>
      <c r="T48" s="94"/>
      <c r="U48" s="94"/>
      <c r="V48" s="94"/>
      <c r="W48" s="481"/>
      <c r="X48" s="94"/>
      <c r="Y48" s="94"/>
      <c r="Z48" s="94"/>
      <c r="AA48" s="94"/>
      <c r="AB48" s="94"/>
      <c r="AC48" s="94"/>
      <c r="AD48" s="94"/>
    </row>
    <row r="49" spans="1:30" ht="12.75">
      <c r="A49" s="475"/>
      <c r="B49" s="475"/>
      <c r="C49" s="94"/>
      <c r="D49" s="2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481"/>
      <c r="X49" s="94"/>
      <c r="Y49" s="94"/>
      <c r="Z49" s="94"/>
      <c r="AA49" s="94"/>
      <c r="AB49" s="94"/>
      <c r="AC49" s="94"/>
      <c r="AD49" s="94"/>
    </row>
    <row r="50" spans="1:30" ht="15">
      <c r="A50" s="475"/>
      <c r="B50" s="475"/>
      <c r="C50" s="526" t="s">
        <v>515</v>
      </c>
      <c r="D50" s="498"/>
      <c r="E50" s="527"/>
      <c r="F50" s="527"/>
      <c r="G50" s="527"/>
      <c r="H50" s="527"/>
      <c r="I50" s="508"/>
      <c r="J50" s="94"/>
      <c r="K50" s="94"/>
      <c r="L50" s="526" t="s">
        <v>545</v>
      </c>
      <c r="M50" s="527"/>
      <c r="N50" s="527"/>
      <c r="O50" s="527"/>
      <c r="P50" s="498" t="s">
        <v>546</v>
      </c>
      <c r="Q50" s="527" t="s">
        <v>547</v>
      </c>
      <c r="R50" s="508"/>
      <c r="S50" s="94"/>
      <c r="T50" s="94"/>
      <c r="U50" s="94"/>
      <c r="V50" s="94"/>
      <c r="W50" s="481"/>
      <c r="X50" s="94"/>
      <c r="Y50" s="94"/>
      <c r="Z50" s="94"/>
      <c r="AA50" s="94"/>
      <c r="AB50" s="94"/>
      <c r="AC50" s="94"/>
      <c r="AD50" s="94"/>
    </row>
    <row r="51" spans="1:30" ht="15">
      <c r="A51" s="475"/>
      <c r="B51" s="475"/>
      <c r="C51" s="393" t="s">
        <v>516</v>
      </c>
      <c r="D51" s="293" t="s">
        <v>517</v>
      </c>
      <c r="E51" s="94" t="s">
        <v>518</v>
      </c>
      <c r="F51" s="94"/>
      <c r="G51" s="94"/>
      <c r="H51" s="94"/>
      <c r="I51" s="397"/>
      <c r="J51" s="94"/>
      <c r="K51" s="94"/>
      <c r="L51" s="393" t="s">
        <v>539</v>
      </c>
      <c r="M51" s="94"/>
      <c r="N51" s="94"/>
      <c r="O51" s="94"/>
      <c r="P51" s="293" t="s">
        <v>541</v>
      </c>
      <c r="Q51" s="316">
        <f>Q48</f>
        <v>19.021671051369175</v>
      </c>
      <c r="R51" s="397" t="s">
        <v>544</v>
      </c>
      <c r="S51" s="94"/>
      <c r="T51" s="94"/>
      <c r="U51" s="94"/>
      <c r="V51" s="94"/>
      <c r="W51" s="481"/>
      <c r="X51" s="94"/>
      <c r="Y51" s="94"/>
      <c r="Z51" s="94"/>
      <c r="AA51" s="94"/>
      <c r="AB51" s="94"/>
      <c r="AC51" s="94"/>
      <c r="AD51" s="94"/>
    </row>
    <row r="52" spans="1:30" ht="15">
      <c r="A52" s="475"/>
      <c r="B52" s="475"/>
      <c r="C52" s="393"/>
      <c r="D52" s="293" t="s">
        <v>495</v>
      </c>
      <c r="E52" s="94"/>
      <c r="F52" s="94"/>
      <c r="G52" s="94"/>
      <c r="H52" s="543">
        <f>H35</f>
        <v>546.3878367748963</v>
      </c>
      <c r="I52" s="397"/>
      <c r="J52" s="94"/>
      <c r="K52" s="94"/>
      <c r="L52" s="393" t="s">
        <v>548</v>
      </c>
      <c r="M52" s="94"/>
      <c r="N52" s="94"/>
      <c r="O52" s="94"/>
      <c r="P52" s="14" t="s">
        <v>458</v>
      </c>
      <c r="Q52" s="318">
        <f>E16</f>
        <v>0.94</v>
      </c>
      <c r="R52" s="397" t="s">
        <v>370</v>
      </c>
      <c r="S52" s="94"/>
      <c r="T52" s="94"/>
      <c r="U52" s="94"/>
      <c r="V52" s="94"/>
      <c r="W52" s="481"/>
      <c r="X52" s="94"/>
      <c r="Y52" s="94"/>
      <c r="Z52" s="94"/>
      <c r="AA52" s="94"/>
      <c r="AB52" s="94"/>
      <c r="AC52" s="94"/>
      <c r="AD52" s="94"/>
    </row>
    <row r="53" spans="1:30" ht="15">
      <c r="A53" s="475"/>
      <c r="B53" s="475"/>
      <c r="C53" s="393"/>
      <c r="D53" s="14" t="s">
        <v>513</v>
      </c>
      <c r="E53" s="94"/>
      <c r="F53" s="94"/>
      <c r="G53" s="94"/>
      <c r="H53" s="547">
        <f>H48</f>
        <v>3.9536419247919663</v>
      </c>
      <c r="I53" s="397"/>
      <c r="J53" s="94"/>
      <c r="K53" s="94"/>
      <c r="L53" s="393" t="s">
        <v>545</v>
      </c>
      <c r="M53" s="94"/>
      <c r="N53" s="94"/>
      <c r="O53" s="94"/>
      <c r="P53" s="293" t="s">
        <v>546</v>
      </c>
      <c r="Q53" s="293" t="s">
        <v>549</v>
      </c>
      <c r="R53" s="397"/>
      <c r="S53" s="94"/>
      <c r="T53" s="94"/>
      <c r="U53" s="94"/>
      <c r="V53" s="94"/>
      <c r="W53" s="481"/>
      <c r="X53" s="94"/>
      <c r="Y53" s="94"/>
      <c r="Z53" s="94"/>
      <c r="AA53" s="94"/>
      <c r="AB53" s="94"/>
      <c r="AC53" s="94"/>
      <c r="AD53" s="94"/>
    </row>
    <row r="54" spans="1:30" ht="15">
      <c r="A54" s="475"/>
      <c r="B54" s="475"/>
      <c r="C54" s="393"/>
      <c r="D54" s="293" t="s">
        <v>517</v>
      </c>
      <c r="E54" s="94" t="s">
        <v>518</v>
      </c>
      <c r="F54" s="94"/>
      <c r="G54" s="94"/>
      <c r="H54" s="554">
        <f>H35+H48</f>
        <v>550.3414786996883</v>
      </c>
      <c r="I54" s="530" t="s">
        <v>195</v>
      </c>
      <c r="J54" s="94"/>
      <c r="K54" s="94"/>
      <c r="L54" s="394"/>
      <c r="M54" s="529"/>
      <c r="N54" s="529"/>
      <c r="O54" s="529"/>
      <c r="P54" s="493" t="s">
        <v>546</v>
      </c>
      <c r="Q54" s="563">
        <f>Q51/Q52</f>
        <v>20.235820267414017</v>
      </c>
      <c r="R54" s="509" t="s">
        <v>544</v>
      </c>
      <c r="S54" s="94"/>
      <c r="T54" s="94"/>
      <c r="U54" s="94"/>
      <c r="V54" s="94"/>
      <c r="W54" s="481"/>
      <c r="X54" s="94"/>
      <c r="Y54" s="94"/>
      <c r="Z54" s="94"/>
      <c r="AA54" s="94"/>
      <c r="AB54" s="94"/>
      <c r="AC54" s="94"/>
      <c r="AD54" s="94"/>
    </row>
    <row r="55" spans="1:30" ht="15">
      <c r="A55" s="475"/>
      <c r="B55" s="475"/>
      <c r="C55" s="528" t="s">
        <v>519</v>
      </c>
      <c r="D55" s="493" t="s">
        <v>520</v>
      </c>
      <c r="E55" s="529" t="s">
        <v>521</v>
      </c>
      <c r="F55" s="529"/>
      <c r="G55" s="529"/>
      <c r="H55" s="549">
        <f>H2O_Temperature_p_h(E13,H54)</f>
        <v>130.4942696484361</v>
      </c>
      <c r="I55" s="553" t="s">
        <v>36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481"/>
      <c r="X55" s="94"/>
      <c r="Y55" s="94"/>
      <c r="Z55" s="94"/>
      <c r="AA55" s="94"/>
      <c r="AB55" s="94"/>
      <c r="AC55" s="94"/>
      <c r="AD55" s="94"/>
    </row>
    <row r="56" spans="1:30" ht="12.75">
      <c r="A56" s="475"/>
      <c r="B56" s="475"/>
      <c r="C56" s="94"/>
      <c r="D56" s="293"/>
      <c r="E56" s="94"/>
      <c r="F56" s="94"/>
      <c r="G56" s="94"/>
      <c r="H56" s="6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481"/>
      <c r="X56" s="94"/>
      <c r="Y56" s="94"/>
      <c r="Z56" s="94"/>
      <c r="AA56" s="94"/>
      <c r="AB56" s="94"/>
      <c r="AC56" s="94"/>
      <c r="AD56" s="94"/>
    </row>
    <row r="57" spans="1:30" ht="12.75">
      <c r="A57" s="475"/>
      <c r="B57" s="94"/>
      <c r="C57" s="94"/>
      <c r="D57" s="293"/>
      <c r="E57" s="94"/>
      <c r="F57" s="94"/>
      <c r="G57" s="94"/>
      <c r="H57" s="94"/>
      <c r="I57" s="94"/>
      <c r="J57" s="94"/>
      <c r="K57" s="94"/>
      <c r="L57" s="535" t="s">
        <v>550</v>
      </c>
      <c r="M57" s="527"/>
      <c r="N57" s="527"/>
      <c r="O57" s="527"/>
      <c r="P57" s="536"/>
      <c r="Q57" s="537"/>
      <c r="R57" s="537"/>
      <c r="S57" s="565"/>
      <c r="T57" s="320"/>
      <c r="U57" s="94"/>
      <c r="V57" s="94"/>
      <c r="W57" s="481"/>
      <c r="X57" s="94"/>
      <c r="Y57" s="94"/>
      <c r="Z57" s="94"/>
      <c r="AA57" s="94"/>
      <c r="AB57" s="94"/>
      <c r="AC57" s="94"/>
      <c r="AD57" s="94"/>
    </row>
    <row r="58" spans="1:30" ht="15">
      <c r="A58" s="475"/>
      <c r="B58" s="94"/>
      <c r="C58" s="526" t="s">
        <v>522</v>
      </c>
      <c r="D58" s="498"/>
      <c r="E58" s="498" t="s">
        <v>523</v>
      </c>
      <c r="F58" s="527" t="s">
        <v>524</v>
      </c>
      <c r="G58" s="527"/>
      <c r="H58" s="537"/>
      <c r="I58" s="508"/>
      <c r="J58" s="94"/>
      <c r="K58" s="94"/>
      <c r="L58" s="533" t="s">
        <v>551</v>
      </c>
      <c r="M58" s="94"/>
      <c r="N58" s="94"/>
      <c r="O58" s="94"/>
      <c r="P58" s="318" t="s">
        <v>352</v>
      </c>
      <c r="Q58" s="564" t="s">
        <v>552</v>
      </c>
      <c r="R58" s="64"/>
      <c r="S58" s="541"/>
      <c r="T58" s="94"/>
      <c r="U58" s="94"/>
      <c r="V58" s="94"/>
      <c r="W58" s="481"/>
      <c r="X58" s="94"/>
      <c r="Y58" s="94"/>
      <c r="Z58" s="94"/>
      <c r="AA58" s="94"/>
      <c r="AB58" s="94"/>
      <c r="AC58" s="94"/>
      <c r="AD58" s="94"/>
    </row>
    <row r="59" spans="1:30" ht="12.75">
      <c r="A59" s="475"/>
      <c r="B59" s="94"/>
      <c r="C59" s="393"/>
      <c r="D59" s="293"/>
      <c r="E59" s="94"/>
      <c r="F59" s="94"/>
      <c r="G59" s="94"/>
      <c r="H59" s="94"/>
      <c r="I59" s="397"/>
      <c r="J59" s="94"/>
      <c r="K59" s="94"/>
      <c r="L59" s="393"/>
      <c r="M59" s="94"/>
      <c r="N59" s="94"/>
      <c r="O59" s="94"/>
      <c r="P59" s="318" t="s">
        <v>352</v>
      </c>
      <c r="Q59" s="64">
        <v>0.001070029021275381</v>
      </c>
      <c r="R59" s="64" t="s">
        <v>351</v>
      </c>
      <c r="S59" s="397"/>
      <c r="T59" s="94"/>
      <c r="U59" s="94"/>
      <c r="V59" s="94"/>
      <c r="W59" s="481"/>
      <c r="X59" s="94"/>
      <c r="Y59" s="94"/>
      <c r="Z59" s="94"/>
      <c r="AA59" s="94"/>
      <c r="AB59" s="94"/>
      <c r="AC59" s="94"/>
      <c r="AD59" s="94"/>
    </row>
    <row r="60" spans="1:30" ht="15.75">
      <c r="A60" s="475"/>
      <c r="B60" s="94"/>
      <c r="C60" s="393"/>
      <c r="D60" s="293"/>
      <c r="E60" s="94"/>
      <c r="F60" s="94"/>
      <c r="G60" s="94"/>
      <c r="H60" s="94"/>
      <c r="I60" s="397"/>
      <c r="J60" s="94"/>
      <c r="K60" s="94"/>
      <c r="L60" s="534" t="s">
        <v>553</v>
      </c>
      <c r="M60" s="94"/>
      <c r="N60" s="94"/>
      <c r="O60" s="94"/>
      <c r="P60" s="319" t="s">
        <v>554</v>
      </c>
      <c r="Q60" s="64" t="s">
        <v>555</v>
      </c>
      <c r="R60" s="64"/>
      <c r="S60" s="541"/>
      <c r="T60" s="94"/>
      <c r="U60" s="94"/>
      <c r="V60" s="94"/>
      <c r="W60" s="481"/>
      <c r="X60" s="94"/>
      <c r="Y60" s="94"/>
      <c r="Z60" s="94"/>
      <c r="AA60" s="94"/>
      <c r="AB60" s="94"/>
      <c r="AC60" s="94"/>
      <c r="AD60" s="94"/>
    </row>
    <row r="61" spans="1:30" ht="15.75">
      <c r="A61" s="475"/>
      <c r="B61" s="94"/>
      <c r="C61" s="393"/>
      <c r="D61" s="293"/>
      <c r="E61" s="94"/>
      <c r="F61" s="94"/>
      <c r="G61" s="94"/>
      <c r="H61" s="94"/>
      <c r="I61" s="397"/>
      <c r="J61" s="94"/>
      <c r="K61" s="94"/>
      <c r="L61" s="393"/>
      <c r="M61" s="94"/>
      <c r="N61" s="94"/>
      <c r="O61" s="94"/>
      <c r="P61" s="319" t="s">
        <v>554</v>
      </c>
      <c r="Q61" s="316">
        <f>1/Q59</f>
        <v>934.5540916339702</v>
      </c>
      <c r="R61" s="64" t="s">
        <v>40</v>
      </c>
      <c r="S61" s="397"/>
      <c r="T61" s="94"/>
      <c r="U61" s="94"/>
      <c r="V61" s="94"/>
      <c r="W61" s="481"/>
      <c r="X61" s="94"/>
      <c r="Y61" s="94"/>
      <c r="Z61" s="94"/>
      <c r="AA61" s="94"/>
      <c r="AB61" s="94"/>
      <c r="AC61" s="94"/>
      <c r="AD61" s="94"/>
    </row>
    <row r="62" spans="1:30" ht="15.75">
      <c r="A62" s="475"/>
      <c r="B62" s="94"/>
      <c r="C62" s="393"/>
      <c r="D62" s="293"/>
      <c r="E62" s="94"/>
      <c r="F62" s="94"/>
      <c r="G62" s="94"/>
      <c r="H62" s="64"/>
      <c r="I62" s="397"/>
      <c r="J62" s="94"/>
      <c r="K62" s="94"/>
      <c r="L62" s="534" t="s">
        <v>533</v>
      </c>
      <c r="M62" s="94"/>
      <c r="N62" s="94"/>
      <c r="O62" s="94"/>
      <c r="P62" s="318" t="s">
        <v>529</v>
      </c>
      <c r="Q62" s="94" t="s">
        <v>534</v>
      </c>
      <c r="R62" s="64"/>
      <c r="S62" s="541"/>
      <c r="T62" s="94"/>
      <c r="U62" s="94"/>
      <c r="V62" s="94"/>
      <c r="W62" s="481"/>
      <c r="X62" s="94"/>
      <c r="Y62" s="94"/>
      <c r="Z62" s="94"/>
      <c r="AA62" s="94"/>
      <c r="AB62" s="94"/>
      <c r="AC62" s="94"/>
      <c r="AD62" s="94"/>
    </row>
    <row r="63" spans="1:30" ht="15.75">
      <c r="A63" s="475"/>
      <c r="B63" s="94"/>
      <c r="C63" s="393"/>
      <c r="D63" s="293"/>
      <c r="E63" s="94"/>
      <c r="F63" s="94"/>
      <c r="G63" s="94"/>
      <c r="H63" s="94"/>
      <c r="I63" s="397"/>
      <c r="J63" s="94"/>
      <c r="K63" s="94"/>
      <c r="L63" s="393"/>
      <c r="M63" s="94"/>
      <c r="N63" s="94"/>
      <c r="O63" s="94"/>
      <c r="P63" s="318" t="s">
        <v>529</v>
      </c>
      <c r="Q63" s="316">
        <f>E93</f>
        <v>4.811176989016288</v>
      </c>
      <c r="R63" s="64" t="s">
        <v>535</v>
      </c>
      <c r="S63" s="397"/>
      <c r="T63" s="94"/>
      <c r="U63" s="94"/>
      <c r="V63" s="94"/>
      <c r="W63" s="481"/>
      <c r="X63" s="94"/>
      <c r="Y63" s="94"/>
      <c r="Z63" s="94"/>
      <c r="AA63" s="94"/>
      <c r="AB63" s="94"/>
      <c r="AC63" s="94"/>
      <c r="AD63" s="94"/>
    </row>
    <row r="64" spans="1:30" ht="15.75">
      <c r="A64" s="475"/>
      <c r="B64" s="94"/>
      <c r="C64" s="393"/>
      <c r="D64" s="293"/>
      <c r="E64" s="94"/>
      <c r="F64" s="94"/>
      <c r="G64" s="94"/>
      <c r="H64" s="94"/>
      <c r="I64" s="397"/>
      <c r="J64" s="94"/>
      <c r="K64" s="94"/>
      <c r="L64" s="534" t="s">
        <v>556</v>
      </c>
      <c r="M64" s="94"/>
      <c r="N64" s="94"/>
      <c r="O64" s="94"/>
      <c r="P64" s="318" t="s">
        <v>557</v>
      </c>
      <c r="Q64" s="318" t="s">
        <v>558</v>
      </c>
      <c r="R64" s="64"/>
      <c r="S64" s="566"/>
      <c r="T64" s="94"/>
      <c r="U64" s="94"/>
      <c r="V64" s="94"/>
      <c r="W64" s="481"/>
      <c r="X64" s="94"/>
      <c r="Y64" s="94"/>
      <c r="Z64" s="94"/>
      <c r="AA64" s="94"/>
      <c r="AB64" s="94"/>
      <c r="AC64" s="94"/>
      <c r="AD64" s="94"/>
    </row>
    <row r="65" spans="1:30" ht="15.75">
      <c r="A65" s="475"/>
      <c r="B65" s="94"/>
      <c r="C65" s="393"/>
      <c r="D65" s="293"/>
      <c r="E65" s="94"/>
      <c r="F65" s="94"/>
      <c r="G65" s="94"/>
      <c r="H65" s="94"/>
      <c r="I65" s="397"/>
      <c r="J65" s="94"/>
      <c r="K65" s="94"/>
      <c r="L65" s="393"/>
      <c r="M65" s="94"/>
      <c r="N65" s="94"/>
      <c r="O65" s="94"/>
      <c r="P65" s="318" t="s">
        <v>557</v>
      </c>
      <c r="Q65" s="320">
        <f>E93/Q61</f>
        <v>0.005148099004739734</v>
      </c>
      <c r="R65" s="484" t="s">
        <v>559</v>
      </c>
      <c r="S65" s="397"/>
      <c r="T65" s="94"/>
      <c r="U65" s="94"/>
      <c r="V65" s="94"/>
      <c r="W65" s="481"/>
      <c r="X65" s="94"/>
      <c r="Y65" s="94"/>
      <c r="Z65" s="94"/>
      <c r="AA65" s="94"/>
      <c r="AB65" s="94"/>
      <c r="AC65" s="94"/>
      <c r="AD65" s="94"/>
    </row>
    <row r="66" spans="1:30" ht="15.75">
      <c r="A66" s="475"/>
      <c r="B66" s="94"/>
      <c r="C66" s="393"/>
      <c r="D66" s="293"/>
      <c r="E66" s="94"/>
      <c r="F66" s="94"/>
      <c r="G66" s="94"/>
      <c r="H66" s="94"/>
      <c r="I66" s="397"/>
      <c r="J66" s="94"/>
      <c r="K66" s="94"/>
      <c r="L66" s="534" t="s">
        <v>560</v>
      </c>
      <c r="M66" s="94"/>
      <c r="N66" s="94"/>
      <c r="O66" s="94"/>
      <c r="P66" s="319" t="s">
        <v>561</v>
      </c>
      <c r="Q66" s="64" t="s">
        <v>562</v>
      </c>
      <c r="R66" s="64"/>
      <c r="S66" s="541"/>
      <c r="T66" s="94"/>
      <c r="U66" s="94"/>
      <c r="V66" s="94"/>
      <c r="W66" s="481"/>
      <c r="X66" s="94"/>
      <c r="Y66" s="94"/>
      <c r="Z66" s="94"/>
      <c r="AA66" s="94"/>
      <c r="AB66" s="94"/>
      <c r="AC66" s="94"/>
      <c r="AD66" s="94"/>
    </row>
    <row r="67" spans="1:30" ht="12.75">
      <c r="A67" s="475"/>
      <c r="B67" s="94"/>
      <c r="C67" s="393"/>
      <c r="D67" s="293"/>
      <c r="E67" s="94"/>
      <c r="F67" s="94"/>
      <c r="G67" s="94"/>
      <c r="H67" s="94"/>
      <c r="I67" s="397"/>
      <c r="J67" s="94"/>
      <c r="K67" s="94"/>
      <c r="L67" s="393"/>
      <c r="M67" s="94"/>
      <c r="N67" s="94"/>
      <c r="O67" s="94"/>
      <c r="P67" s="319" t="s">
        <v>561</v>
      </c>
      <c r="Q67" s="321">
        <f>+E13-H36</f>
        <v>27.297403934400016</v>
      </c>
      <c r="R67" s="64" t="s">
        <v>50</v>
      </c>
      <c r="S67" s="397"/>
      <c r="T67" s="94"/>
      <c r="U67" s="94"/>
      <c r="V67" s="94"/>
      <c r="W67" s="481"/>
      <c r="X67" s="94"/>
      <c r="Y67" s="94"/>
      <c r="Z67" s="94"/>
      <c r="AA67" s="94"/>
      <c r="AB67" s="94"/>
      <c r="AC67" s="94"/>
      <c r="AD67" s="94"/>
    </row>
    <row r="68" spans="1:30" ht="15">
      <c r="A68" s="475"/>
      <c r="B68" s="94"/>
      <c r="C68" s="393"/>
      <c r="D68" s="293"/>
      <c r="E68" s="317" t="s">
        <v>525</v>
      </c>
      <c r="F68" s="94" t="s">
        <v>526</v>
      </c>
      <c r="G68" s="94"/>
      <c r="H68" s="64"/>
      <c r="I68" s="397"/>
      <c r="J68" s="94"/>
      <c r="K68" s="94"/>
      <c r="L68" s="392" t="s">
        <v>455</v>
      </c>
      <c r="M68" s="94"/>
      <c r="N68" s="94"/>
      <c r="O68" s="94"/>
      <c r="P68" s="14" t="s">
        <v>456</v>
      </c>
      <c r="Q68" s="94">
        <f>E15</f>
        <v>0.74</v>
      </c>
      <c r="R68" s="94" t="s">
        <v>370</v>
      </c>
      <c r="S68" s="397"/>
      <c r="T68" s="94"/>
      <c r="U68" s="94"/>
      <c r="V68" s="94"/>
      <c r="W68" s="481"/>
      <c r="X68" s="94"/>
      <c r="Y68" s="94"/>
      <c r="Z68" s="94"/>
      <c r="AA68" s="94"/>
      <c r="AB68" s="94"/>
      <c r="AC68" s="94"/>
      <c r="AD68" s="94"/>
    </row>
    <row r="69" spans="1:30" ht="15">
      <c r="A69" s="475"/>
      <c r="B69" s="94"/>
      <c r="C69" s="393"/>
      <c r="D69" s="293"/>
      <c r="E69" s="317" t="s">
        <v>527</v>
      </c>
      <c r="F69" s="307" t="s">
        <v>528</v>
      </c>
      <c r="G69" s="94"/>
      <c r="H69" s="64"/>
      <c r="I69" s="397"/>
      <c r="J69" s="94"/>
      <c r="K69" s="94"/>
      <c r="L69" s="534" t="s">
        <v>539</v>
      </c>
      <c r="M69" s="94"/>
      <c r="N69" s="94"/>
      <c r="O69" s="94"/>
      <c r="P69" s="318" t="s">
        <v>541</v>
      </c>
      <c r="Q69" s="64" t="s">
        <v>563</v>
      </c>
      <c r="R69" s="94"/>
      <c r="S69" s="397"/>
      <c r="T69" s="94"/>
      <c r="U69" s="94"/>
      <c r="V69" s="94"/>
      <c r="W69" s="481"/>
      <c r="X69" s="94"/>
      <c r="Y69" s="94"/>
      <c r="Z69" s="94"/>
      <c r="AA69" s="94"/>
      <c r="AB69" s="94"/>
      <c r="AC69" s="94"/>
      <c r="AD69" s="94"/>
    </row>
    <row r="70" spans="1:30" ht="15">
      <c r="A70" s="475"/>
      <c r="B70" s="94"/>
      <c r="C70" s="548"/>
      <c r="D70" s="293"/>
      <c r="E70" s="293" t="s">
        <v>529</v>
      </c>
      <c r="F70" s="307" t="s">
        <v>530</v>
      </c>
      <c r="G70" s="94"/>
      <c r="H70" s="64"/>
      <c r="I70" s="397"/>
      <c r="J70" s="94"/>
      <c r="K70" s="94"/>
      <c r="L70" s="393"/>
      <c r="M70" s="94"/>
      <c r="N70" s="94"/>
      <c r="O70" s="94"/>
      <c r="P70" s="318" t="s">
        <v>541</v>
      </c>
      <c r="Q70" s="316">
        <f>Q65*(E13-H36)/Q68*100000/1000</f>
        <v>18.99050513873828</v>
      </c>
      <c r="R70" s="64" t="s">
        <v>544</v>
      </c>
      <c r="S70" s="541"/>
      <c r="T70" s="94"/>
      <c r="U70" s="94"/>
      <c r="V70" s="94"/>
      <c r="W70" s="481"/>
      <c r="X70" s="94"/>
      <c r="Y70" s="94"/>
      <c r="Z70" s="94"/>
      <c r="AA70" s="94"/>
      <c r="AB70" s="94"/>
      <c r="AC70" s="94"/>
      <c r="AD70" s="94"/>
    </row>
    <row r="71" spans="1:30" ht="15">
      <c r="A71" s="475"/>
      <c r="B71" s="94"/>
      <c r="C71" s="393"/>
      <c r="D71" s="293"/>
      <c r="E71" s="94"/>
      <c r="F71" s="94"/>
      <c r="G71" s="94"/>
      <c r="H71" s="94"/>
      <c r="I71" s="397"/>
      <c r="J71" s="94"/>
      <c r="K71" s="94"/>
      <c r="L71" s="393" t="s">
        <v>548</v>
      </c>
      <c r="M71" s="94"/>
      <c r="N71" s="94"/>
      <c r="O71" s="94"/>
      <c r="P71" s="14" t="s">
        <v>458</v>
      </c>
      <c r="Q71" s="318">
        <f>E16</f>
        <v>0.94</v>
      </c>
      <c r="R71" s="94" t="s">
        <v>370</v>
      </c>
      <c r="S71" s="397"/>
      <c r="T71" s="94"/>
      <c r="U71" s="94"/>
      <c r="V71" s="94"/>
      <c r="W71" s="481"/>
      <c r="X71" s="94"/>
      <c r="Y71" s="94"/>
      <c r="Z71" s="94"/>
      <c r="AA71" s="94"/>
      <c r="AB71" s="94"/>
      <c r="AC71" s="94"/>
      <c r="AD71" s="94"/>
    </row>
    <row r="72" spans="1:30" ht="15">
      <c r="A72" s="475"/>
      <c r="B72" s="94"/>
      <c r="C72" s="393"/>
      <c r="D72" s="293" t="s">
        <v>766</v>
      </c>
      <c r="E72" s="293" t="s">
        <v>767</v>
      </c>
      <c r="F72" s="307" t="s">
        <v>768</v>
      </c>
      <c r="G72" s="94"/>
      <c r="H72" s="94"/>
      <c r="I72" s="397"/>
      <c r="J72" s="94"/>
      <c r="K72" s="94"/>
      <c r="L72" s="534" t="s">
        <v>545</v>
      </c>
      <c r="M72" s="94"/>
      <c r="N72" s="94"/>
      <c r="O72" s="94"/>
      <c r="P72" s="318" t="s">
        <v>546</v>
      </c>
      <c r="Q72" s="64" t="s">
        <v>547</v>
      </c>
      <c r="R72" s="64"/>
      <c r="S72" s="541"/>
      <c r="T72" s="94"/>
      <c r="U72" s="94"/>
      <c r="V72" s="94"/>
      <c r="W72" s="481"/>
      <c r="X72" s="94"/>
      <c r="Y72" s="94"/>
      <c r="Z72" s="94"/>
      <c r="AA72" s="94"/>
      <c r="AB72" s="94"/>
      <c r="AC72" s="94"/>
      <c r="AD72" s="94"/>
    </row>
    <row r="73" spans="1:30" ht="15">
      <c r="A73" s="475"/>
      <c r="B73" s="94"/>
      <c r="C73" s="393"/>
      <c r="D73" s="94"/>
      <c r="E73" s="293" t="s">
        <v>403</v>
      </c>
      <c r="F73" s="310">
        <f>H24</f>
        <v>3299.871291261393</v>
      </c>
      <c r="G73" s="94" t="s">
        <v>195</v>
      </c>
      <c r="H73" s="94"/>
      <c r="I73" s="397"/>
      <c r="J73" s="94"/>
      <c r="K73" s="94"/>
      <c r="L73" s="394"/>
      <c r="M73" s="529"/>
      <c r="N73" s="529"/>
      <c r="O73" s="529"/>
      <c r="P73" s="538" t="s">
        <v>546</v>
      </c>
      <c r="Q73" s="540">
        <f>Q70/Q71</f>
        <v>20.202665041210935</v>
      </c>
      <c r="R73" s="539" t="s">
        <v>544</v>
      </c>
      <c r="S73" s="509"/>
      <c r="T73" s="94"/>
      <c r="U73" s="94"/>
      <c r="V73" s="94"/>
      <c r="W73" s="481"/>
      <c r="X73" s="94"/>
      <c r="Y73" s="94"/>
      <c r="Z73" s="94"/>
      <c r="AA73" s="94"/>
      <c r="AB73" s="94"/>
      <c r="AC73" s="94"/>
      <c r="AD73" s="94"/>
    </row>
    <row r="74" spans="1:30" ht="15">
      <c r="A74" s="475"/>
      <c r="B74" s="94"/>
      <c r="C74" s="393"/>
      <c r="D74" s="94"/>
      <c r="E74" s="293" t="s">
        <v>425</v>
      </c>
      <c r="F74" s="310">
        <f>H25</f>
        <v>2784.030887271214</v>
      </c>
      <c r="G74" s="94" t="s">
        <v>195</v>
      </c>
      <c r="H74" s="94"/>
      <c r="I74" s="397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481"/>
      <c r="X74" s="94"/>
      <c r="Y74" s="94"/>
      <c r="Z74" s="94"/>
      <c r="AA74" s="94"/>
      <c r="AB74" s="94"/>
      <c r="AC74" s="94"/>
      <c r="AD74" s="94"/>
    </row>
    <row r="75" spans="1:30" ht="15">
      <c r="A75" s="475"/>
      <c r="B75" s="94"/>
      <c r="C75" s="393"/>
      <c r="D75" s="94"/>
      <c r="E75" s="293" t="s">
        <v>517</v>
      </c>
      <c r="F75" s="308">
        <f>H54</f>
        <v>550.3414786996883</v>
      </c>
      <c r="G75" s="94" t="s">
        <v>195</v>
      </c>
      <c r="H75" s="94"/>
      <c r="I75" s="397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481"/>
      <c r="X75" s="94"/>
      <c r="Y75" s="94"/>
      <c r="Z75" s="94"/>
      <c r="AA75" s="94"/>
      <c r="AB75" s="94"/>
      <c r="AC75" s="94"/>
      <c r="AD75" s="94"/>
    </row>
    <row r="76" spans="1:30" ht="15">
      <c r="A76" s="475"/>
      <c r="B76" s="94"/>
      <c r="C76" s="393"/>
      <c r="D76" s="94"/>
      <c r="E76" s="293" t="s">
        <v>767</v>
      </c>
      <c r="F76" s="557">
        <f>(F73-F74)/(F74-F75)</f>
        <v>0.23093649547278183</v>
      </c>
      <c r="G76" s="94" t="s">
        <v>370</v>
      </c>
      <c r="H76" s="94"/>
      <c r="I76" s="397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481"/>
      <c r="X76" s="94"/>
      <c r="Y76" s="94"/>
      <c r="Z76" s="94"/>
      <c r="AA76" s="94"/>
      <c r="AB76" s="94"/>
      <c r="AC76" s="94"/>
      <c r="AD76" s="94"/>
    </row>
    <row r="77" spans="1:30" ht="12.75">
      <c r="A77" s="475"/>
      <c r="B77" s="94"/>
      <c r="C77" s="393"/>
      <c r="D77" s="94" t="s">
        <v>769</v>
      </c>
      <c r="E77" s="293"/>
      <c r="F77" s="308"/>
      <c r="G77" s="94"/>
      <c r="H77" s="94"/>
      <c r="I77" s="397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481"/>
      <c r="X77" s="94"/>
      <c r="Y77" s="94"/>
      <c r="Z77" s="94"/>
      <c r="AA77" s="94"/>
      <c r="AB77" s="94"/>
      <c r="AC77" s="94"/>
      <c r="AD77" s="94"/>
    </row>
    <row r="78" spans="1:30" ht="15">
      <c r="A78" s="475"/>
      <c r="B78" s="94"/>
      <c r="C78" s="394"/>
      <c r="D78" s="529"/>
      <c r="E78" s="493" t="s">
        <v>529</v>
      </c>
      <c r="F78" s="555" t="s">
        <v>770</v>
      </c>
      <c r="G78" s="529"/>
      <c r="H78" s="529"/>
      <c r="I78" s="509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481"/>
      <c r="X78" s="94"/>
      <c r="Y78" s="94"/>
      <c r="Z78" s="94"/>
      <c r="AA78" s="94"/>
      <c r="AB78" s="94"/>
      <c r="AC78" s="94"/>
      <c r="AD78" s="94"/>
    </row>
    <row r="79" spans="1:30" ht="12.75">
      <c r="A79" s="475"/>
      <c r="B79" s="94"/>
      <c r="C79" s="94"/>
      <c r="D79" s="94"/>
      <c r="E79" s="293"/>
      <c r="F79" s="308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481"/>
      <c r="X79" s="94"/>
      <c r="Y79" s="94"/>
      <c r="Z79" s="94"/>
      <c r="AA79" s="94"/>
      <c r="AB79" s="94"/>
      <c r="AC79" s="94"/>
      <c r="AD79" s="94"/>
    </row>
    <row r="80" spans="1:30" ht="12.75">
      <c r="A80" s="475"/>
      <c r="B80" s="94"/>
      <c r="C80" s="94"/>
      <c r="D80" s="29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481"/>
      <c r="X80" s="94"/>
      <c r="Y80" s="94"/>
      <c r="Z80" s="94"/>
      <c r="AA80" s="94"/>
      <c r="AB80" s="94"/>
      <c r="AC80" s="94"/>
      <c r="AD80" s="94"/>
    </row>
    <row r="81" spans="1:30" ht="15">
      <c r="A81" s="475"/>
      <c r="B81" s="94"/>
      <c r="C81" s="526" t="s">
        <v>531</v>
      </c>
      <c r="D81" s="498" t="s">
        <v>532</v>
      </c>
      <c r="E81" s="556" t="s">
        <v>771</v>
      </c>
      <c r="F81" s="527"/>
      <c r="G81" s="527"/>
      <c r="H81" s="527"/>
      <c r="I81" s="508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481"/>
      <c r="X81" s="94"/>
      <c r="Y81" s="94"/>
      <c r="Z81" s="94"/>
      <c r="AA81" s="94"/>
      <c r="AB81" s="94"/>
      <c r="AC81" s="94"/>
      <c r="AD81" s="94"/>
    </row>
    <row r="82" spans="1:30" ht="15">
      <c r="A82" s="475"/>
      <c r="B82" s="94"/>
      <c r="C82" s="393"/>
      <c r="D82" s="293" t="s">
        <v>763</v>
      </c>
      <c r="E82" s="293">
        <v>1</v>
      </c>
      <c r="F82" s="94" t="s">
        <v>765</v>
      </c>
      <c r="G82" s="94"/>
      <c r="H82" s="94"/>
      <c r="I82" s="397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481"/>
      <c r="X82" s="94"/>
      <c r="Y82" s="94"/>
      <c r="Z82" s="94"/>
      <c r="AA82" s="94"/>
      <c r="AB82" s="94"/>
      <c r="AC82" s="94"/>
      <c r="AD82" s="94"/>
    </row>
    <row r="83" spans="1:30" ht="15">
      <c r="A83" s="475"/>
      <c r="B83" s="94"/>
      <c r="C83" s="393"/>
      <c r="D83" s="293" t="s">
        <v>767</v>
      </c>
      <c r="E83" s="559">
        <f>F76</f>
        <v>0.23093649547278183</v>
      </c>
      <c r="F83" s="94" t="s">
        <v>370</v>
      </c>
      <c r="G83" s="94"/>
      <c r="H83" s="94"/>
      <c r="I83" s="397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481"/>
      <c r="X83" s="94"/>
      <c r="Y83" s="94"/>
      <c r="Z83" s="94"/>
      <c r="AA83" s="94"/>
      <c r="AB83" s="94"/>
      <c r="AC83" s="94"/>
      <c r="AD83" s="94"/>
    </row>
    <row r="84" spans="1:30" ht="15">
      <c r="A84" s="475"/>
      <c r="B84" s="94"/>
      <c r="C84" s="394"/>
      <c r="D84" s="493" t="s">
        <v>532</v>
      </c>
      <c r="E84" s="557">
        <f>E82*E83</f>
        <v>0.23093649547278183</v>
      </c>
      <c r="F84" s="529" t="s">
        <v>764</v>
      </c>
      <c r="G84" s="529"/>
      <c r="H84" s="529"/>
      <c r="I84" s="509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481"/>
      <c r="X84" s="94"/>
      <c r="Y84" s="94"/>
      <c r="Z84" s="94"/>
      <c r="AA84" s="94"/>
      <c r="AB84" s="94"/>
      <c r="AC84" s="94"/>
      <c r="AD84" s="94"/>
    </row>
    <row r="85" spans="1:30" ht="12.75">
      <c r="A85" s="475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481"/>
      <c r="X85" s="94"/>
      <c r="Y85" s="94"/>
      <c r="Z85" s="94"/>
      <c r="AA85" s="94"/>
      <c r="AB85" s="94"/>
      <c r="AC85" s="94"/>
      <c r="AD85" s="94"/>
    </row>
    <row r="86" spans="1:30" ht="15">
      <c r="A86" s="475"/>
      <c r="B86" s="94"/>
      <c r="C86" s="526" t="s">
        <v>533</v>
      </c>
      <c r="D86" s="498" t="s">
        <v>529</v>
      </c>
      <c r="E86" s="527" t="s">
        <v>534</v>
      </c>
      <c r="F86" s="527"/>
      <c r="G86" s="527"/>
      <c r="H86" s="561"/>
      <c r="I86" s="508"/>
      <c r="J86" s="94"/>
      <c r="K86" s="94"/>
      <c r="L86" s="94"/>
      <c r="M86" s="94"/>
      <c r="N86" s="94"/>
      <c r="O86" s="94"/>
      <c r="P86" s="94" t="s">
        <v>54</v>
      </c>
      <c r="Q86" s="94"/>
      <c r="R86" s="94"/>
      <c r="S86" s="94"/>
      <c r="T86" s="94"/>
      <c r="U86" s="94"/>
      <c r="V86" s="94"/>
      <c r="W86" s="481"/>
      <c r="X86" s="94"/>
      <c r="Y86" s="94"/>
      <c r="Z86" s="94"/>
      <c r="AA86" s="94"/>
      <c r="AB86" s="94"/>
      <c r="AC86" s="94"/>
      <c r="AD86" s="94"/>
    </row>
    <row r="87" spans="1:30" ht="15">
      <c r="A87" s="475"/>
      <c r="B87" s="94"/>
      <c r="C87" s="393"/>
      <c r="D87" s="293" t="s">
        <v>529</v>
      </c>
      <c r="E87" s="94" t="s">
        <v>772</v>
      </c>
      <c r="F87" s="94"/>
      <c r="G87" s="94"/>
      <c r="H87" s="94"/>
      <c r="I87" s="397"/>
      <c r="J87" s="94"/>
      <c r="K87" s="298"/>
      <c r="L87" s="94"/>
      <c r="M87" s="94"/>
      <c r="N87" s="94"/>
      <c r="O87" s="94"/>
      <c r="P87" s="94"/>
      <c r="Q87" s="94" t="s">
        <v>54</v>
      </c>
      <c r="R87" s="94"/>
      <c r="S87" s="94"/>
      <c r="T87" s="94"/>
      <c r="U87" s="94"/>
      <c r="V87" s="94"/>
      <c r="W87" s="481"/>
      <c r="X87" s="94"/>
      <c r="Y87" s="94"/>
      <c r="Z87" s="94"/>
      <c r="AA87" s="94"/>
      <c r="AB87" s="94"/>
      <c r="AC87" s="94"/>
      <c r="AD87" s="94"/>
    </row>
    <row r="88" spans="1:30" ht="15">
      <c r="A88" s="475"/>
      <c r="B88" s="94"/>
      <c r="C88" s="393"/>
      <c r="D88" s="293" t="s">
        <v>460</v>
      </c>
      <c r="E88" s="213">
        <f>E17</f>
        <v>75</v>
      </c>
      <c r="F88" s="94" t="s">
        <v>773</v>
      </c>
      <c r="G88" s="94"/>
      <c r="H88" s="94"/>
      <c r="I88" s="397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481"/>
      <c r="X88" s="94"/>
      <c r="Y88" s="94"/>
      <c r="Z88" s="94"/>
      <c r="AA88" s="94"/>
      <c r="AB88" s="94"/>
      <c r="AC88" s="94"/>
      <c r="AD88" s="94"/>
    </row>
    <row r="89" spans="1:30" ht="15">
      <c r="A89" s="475"/>
      <c r="B89" s="94"/>
      <c r="C89" s="393"/>
      <c r="D89" s="293" t="s">
        <v>460</v>
      </c>
      <c r="E89" s="560">
        <f>E88*1000/3600</f>
        <v>20.833333333333332</v>
      </c>
      <c r="F89" s="94" t="s">
        <v>535</v>
      </c>
      <c r="G89" s="94"/>
      <c r="H89" s="94"/>
      <c r="I89" s="397"/>
      <c r="J89" s="94"/>
      <c r="K89" s="94"/>
      <c r="L89" s="94"/>
      <c r="M89" s="94"/>
      <c r="N89" s="94"/>
      <c r="O89" s="94"/>
      <c r="P89" s="293" t="s">
        <v>54</v>
      </c>
      <c r="Q89" s="94"/>
      <c r="R89" s="94"/>
      <c r="S89" s="94"/>
      <c r="T89" s="94"/>
      <c r="U89" s="94"/>
      <c r="V89" s="94"/>
      <c r="W89" s="481"/>
      <c r="X89" s="94"/>
      <c r="Y89" s="94"/>
      <c r="Z89" s="94"/>
      <c r="AA89" s="94"/>
      <c r="AB89" s="94"/>
      <c r="AC89" s="94"/>
      <c r="AD89" s="94"/>
    </row>
    <row r="90" spans="1:30" ht="15">
      <c r="A90" s="475"/>
      <c r="B90" s="94"/>
      <c r="C90" s="393"/>
      <c r="D90" s="293" t="s">
        <v>767</v>
      </c>
      <c r="E90" s="558">
        <f>F76</f>
        <v>0.23093649547278183</v>
      </c>
      <c r="F90" s="94" t="s">
        <v>370</v>
      </c>
      <c r="G90" s="94"/>
      <c r="H90" s="64"/>
      <c r="I90" s="397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481"/>
      <c r="X90" s="94"/>
      <c r="Y90" s="94"/>
      <c r="Z90" s="94"/>
      <c r="AA90" s="94"/>
      <c r="AB90" s="94"/>
      <c r="AC90" s="94"/>
      <c r="AD90" s="94"/>
    </row>
    <row r="91" spans="1:30" ht="15">
      <c r="A91" s="475"/>
      <c r="B91" s="94"/>
      <c r="C91" s="393"/>
      <c r="D91" s="293" t="s">
        <v>529</v>
      </c>
      <c r="E91" s="94" t="s">
        <v>772</v>
      </c>
      <c r="F91" s="94"/>
      <c r="G91" s="94"/>
      <c r="H91" s="94"/>
      <c r="I91" s="397"/>
      <c r="J91" s="94"/>
      <c r="K91" s="94"/>
      <c r="L91" s="94"/>
      <c r="M91" s="94" t="s">
        <v>54</v>
      </c>
      <c r="N91" s="94"/>
      <c r="O91" s="94" t="s">
        <v>54</v>
      </c>
      <c r="P91" s="94"/>
      <c r="Q91" s="94"/>
      <c r="R91" s="94"/>
      <c r="S91" s="94"/>
      <c r="T91" s="94"/>
      <c r="U91" s="94"/>
      <c r="V91" s="94"/>
      <c r="W91" s="481"/>
      <c r="X91" s="94"/>
      <c r="Y91" s="94"/>
      <c r="Z91" s="94"/>
      <c r="AA91" s="94"/>
      <c r="AB91" s="94"/>
      <c r="AC91" s="94"/>
      <c r="AD91" s="94"/>
    </row>
    <row r="92" spans="1:30" ht="15">
      <c r="A92" s="475"/>
      <c r="B92" s="94"/>
      <c r="C92" s="393" t="s">
        <v>54</v>
      </c>
      <c r="D92" s="293" t="s">
        <v>529</v>
      </c>
      <c r="E92" s="298">
        <f>E88*E90</f>
        <v>17.32023716045864</v>
      </c>
      <c r="F92" s="94" t="s">
        <v>461</v>
      </c>
      <c r="G92" s="94"/>
      <c r="H92" s="316"/>
      <c r="I92" s="397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481"/>
      <c r="X92" s="94"/>
      <c r="Y92" s="94"/>
      <c r="Z92" s="94"/>
      <c r="AA92" s="94"/>
      <c r="AB92" s="94"/>
      <c r="AC92" s="94"/>
      <c r="AD92" s="94"/>
    </row>
    <row r="93" spans="1:30" ht="15">
      <c r="A93" s="475"/>
      <c r="B93" s="94"/>
      <c r="C93" s="394"/>
      <c r="D93" s="493" t="s">
        <v>529</v>
      </c>
      <c r="E93" s="562">
        <f>E89*E90</f>
        <v>4.811176989016288</v>
      </c>
      <c r="F93" s="529" t="s">
        <v>535</v>
      </c>
      <c r="G93" s="529"/>
      <c r="H93" s="540"/>
      <c r="I93" s="509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481"/>
      <c r="X93" s="94"/>
      <c r="Y93" s="94"/>
      <c r="Z93" s="94"/>
      <c r="AA93" s="94"/>
      <c r="AB93" s="94"/>
      <c r="AC93" s="94"/>
      <c r="AD93" s="94"/>
    </row>
    <row r="94" spans="1:30" ht="12.75">
      <c r="A94" s="475"/>
      <c r="B94" s="94"/>
      <c r="C94" s="94"/>
      <c r="D94" s="293"/>
      <c r="E94" s="298"/>
      <c r="F94" s="94"/>
      <c r="G94" s="94"/>
      <c r="H94" s="316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481"/>
      <c r="X94" s="94"/>
      <c r="Y94" s="94"/>
      <c r="Z94" s="94"/>
      <c r="AA94" s="94"/>
      <c r="AB94" s="94"/>
      <c r="AC94" s="94"/>
      <c r="AD94" s="94"/>
    </row>
    <row r="95" spans="1:30" ht="15">
      <c r="A95" s="475"/>
      <c r="B95" s="94"/>
      <c r="C95" s="526" t="s">
        <v>536</v>
      </c>
      <c r="D95" s="498" t="s">
        <v>537</v>
      </c>
      <c r="E95" s="527" t="s">
        <v>538</v>
      </c>
      <c r="F95" s="527"/>
      <c r="G95" s="527"/>
      <c r="H95" s="537"/>
      <c r="I95" s="508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481"/>
      <c r="X95" s="94"/>
      <c r="Y95" s="94"/>
      <c r="Z95" s="94"/>
      <c r="AA95" s="94"/>
      <c r="AB95" s="94"/>
      <c r="AC95" s="94"/>
      <c r="AD95" s="94"/>
    </row>
    <row r="96" spans="1:30" ht="15">
      <c r="A96" s="475"/>
      <c r="B96" s="94"/>
      <c r="C96" s="393"/>
      <c r="D96" s="293" t="s">
        <v>460</v>
      </c>
      <c r="E96" s="213">
        <f>E89</f>
        <v>20.833333333333332</v>
      </c>
      <c r="F96" s="94" t="s">
        <v>535</v>
      </c>
      <c r="G96" s="94"/>
      <c r="H96" s="94"/>
      <c r="I96" s="397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481"/>
      <c r="X96" s="94"/>
      <c r="Y96" s="94"/>
      <c r="Z96" s="94"/>
      <c r="AA96" s="94"/>
      <c r="AB96" s="94"/>
      <c r="AC96" s="94"/>
      <c r="AD96" s="94"/>
    </row>
    <row r="97" spans="1:30" ht="15">
      <c r="A97" s="475"/>
      <c r="B97" s="94"/>
      <c r="C97" s="393"/>
      <c r="D97" s="293" t="s">
        <v>529</v>
      </c>
      <c r="E97" s="213">
        <f>E93</f>
        <v>4.811176989016288</v>
      </c>
      <c r="F97" s="94" t="s">
        <v>535</v>
      </c>
      <c r="G97" s="94"/>
      <c r="H97" s="64"/>
      <c r="I97" s="397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481"/>
      <c r="X97" s="94"/>
      <c r="Y97" s="94"/>
      <c r="Z97" s="94"/>
      <c r="AA97" s="94"/>
      <c r="AB97" s="94"/>
      <c r="AC97" s="94"/>
      <c r="AD97" s="94"/>
    </row>
    <row r="98" spans="1:23" ht="15">
      <c r="A98" s="475"/>
      <c r="B98" s="94"/>
      <c r="C98" s="393"/>
      <c r="D98" s="293" t="s">
        <v>537</v>
      </c>
      <c r="E98" s="213">
        <f>E96+E97</f>
        <v>25.64451032234962</v>
      </c>
      <c r="F98" s="94" t="s">
        <v>535</v>
      </c>
      <c r="G98" s="94"/>
      <c r="H98" s="94"/>
      <c r="I98" s="397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481"/>
    </row>
    <row r="99" spans="1:23" ht="15">
      <c r="A99" s="475"/>
      <c r="B99" s="94"/>
      <c r="C99" s="394"/>
      <c r="D99" s="493" t="s">
        <v>537</v>
      </c>
      <c r="E99" s="562">
        <f>E98*3.6</f>
        <v>92.32023716045863</v>
      </c>
      <c r="F99" s="529" t="s">
        <v>461</v>
      </c>
      <c r="G99" s="529"/>
      <c r="H99" s="539"/>
      <c r="I99" s="509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481"/>
    </row>
    <row r="100" spans="1:23" ht="13.5" thickBot="1">
      <c r="A100" s="478"/>
      <c r="B100" s="479"/>
      <c r="C100" s="479"/>
      <c r="D100" s="488" t="s">
        <v>54</v>
      </c>
      <c r="E100" s="479"/>
      <c r="F100" s="479"/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82"/>
    </row>
    <row r="101" spans="1:12" ht="13.5" thickTop="1">
      <c r="A101" s="94"/>
      <c r="B101" s="94"/>
      <c r="C101" s="94"/>
      <c r="D101" s="94"/>
      <c r="E101" s="94"/>
      <c r="F101" s="94"/>
      <c r="G101" s="94"/>
      <c r="H101" s="64"/>
      <c r="I101" s="94"/>
      <c r="J101" s="94"/>
      <c r="K101" s="94"/>
      <c r="L101" s="94"/>
    </row>
    <row r="102" spans="1:12" ht="12.75">
      <c r="A102" s="94"/>
      <c r="B102" s="94"/>
      <c r="C102" s="94"/>
      <c r="D102" s="94"/>
      <c r="E102" s="94"/>
      <c r="F102" s="94"/>
      <c r="G102" s="94"/>
      <c r="L102" s="94"/>
    </row>
    <row r="103" spans="1:12" ht="12.75">
      <c r="A103" s="94"/>
      <c r="B103" s="94"/>
      <c r="C103" s="94"/>
      <c r="D103" s="94"/>
      <c r="E103" s="94"/>
      <c r="F103" s="94"/>
      <c r="G103" s="94"/>
      <c r="H103" s="64"/>
      <c r="I103" s="94"/>
      <c r="J103" s="94"/>
      <c r="K103" s="94"/>
      <c r="L103" s="94"/>
    </row>
    <row r="104" spans="1:7" ht="12.75">
      <c r="A104" s="94"/>
      <c r="B104" s="94"/>
      <c r="D104" s="122"/>
      <c r="G104" s="94"/>
    </row>
    <row r="105" spans="1:11" ht="12.75">
      <c r="A105" s="94"/>
      <c r="B105" s="94"/>
      <c r="D105" s="122"/>
      <c r="G105" s="94"/>
      <c r="H105" s="64"/>
      <c r="I105" s="94"/>
      <c r="J105" s="94"/>
      <c r="K105" s="94"/>
    </row>
    <row r="106" spans="1:10" ht="12.75">
      <c r="A106" s="94"/>
      <c r="B106" s="94"/>
      <c r="D106" s="122"/>
      <c r="J106" s="64"/>
    </row>
    <row r="107" spans="1:2" ht="12.75">
      <c r="A107" s="94"/>
      <c r="B107" s="94"/>
    </row>
    <row r="108" spans="1:2" ht="12.75">
      <c r="A108" s="94"/>
      <c r="B108" s="94"/>
    </row>
  </sheetData>
  <sheetProtection/>
  <mergeCells count="1">
    <mergeCell ref="C8:F8"/>
  </mergeCells>
  <printOptions/>
  <pageMargins left="0.7" right="0.7" top="0.75" bottom="0.75" header="0.3" footer="0.3"/>
  <pageSetup horizontalDpi="600" verticalDpi="600" orientation="portrait" r:id="rId2"/>
  <ignoredErrors>
    <ignoredError sqref="H29:H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C1:Q33"/>
  <sheetViews>
    <sheetView showGridLines="0" zoomScalePageLayoutView="0" workbookViewId="0" topLeftCell="A1">
      <selection activeCell="A1" sqref="A1"/>
    </sheetView>
  </sheetViews>
  <sheetFormatPr defaultColWidth="10.28125" defaultRowHeight="15"/>
  <cols>
    <col min="1" max="2" width="4.00390625" style="322" customWidth="1"/>
    <col min="3" max="3" width="10.28125" style="322" customWidth="1"/>
    <col min="4" max="16384" width="10.28125" style="322" customWidth="1"/>
  </cols>
  <sheetData>
    <row r="1" ht="14.25">
      <c r="C1" s="323"/>
    </row>
    <row r="2" ht="18">
      <c r="C2" s="405" t="s">
        <v>678</v>
      </c>
    </row>
    <row r="3" spans="3:17" ht="18" thickBot="1">
      <c r="C3" s="324" t="s">
        <v>54</v>
      </c>
      <c r="P3" s="406"/>
      <c r="Q3" s="407" t="str">
        <f>'Index of functions'!O2</f>
        <v>Rev. cjc 01.06.2016</v>
      </c>
    </row>
    <row r="4" spans="3:17" ht="15" thickTop="1">
      <c r="C4" s="415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20"/>
    </row>
    <row r="5" spans="3:17" s="410" customFormat="1" ht="15">
      <c r="C5" s="424"/>
      <c r="D5" s="408" t="s">
        <v>664</v>
      </c>
      <c r="E5" s="409"/>
      <c r="F5" s="409"/>
      <c r="G5" s="408" t="s">
        <v>665</v>
      </c>
      <c r="H5" s="409"/>
      <c r="I5" s="409"/>
      <c r="J5" s="423" t="s">
        <v>668</v>
      </c>
      <c r="K5" s="409"/>
      <c r="L5" s="409"/>
      <c r="M5" s="409"/>
      <c r="N5" s="408" t="s">
        <v>54</v>
      </c>
      <c r="O5" s="409"/>
      <c r="P5" s="409"/>
      <c r="Q5" s="427"/>
    </row>
    <row r="6" spans="3:17" ht="15">
      <c r="C6" s="413"/>
      <c r="D6" s="326" t="s">
        <v>541</v>
      </c>
      <c r="E6" s="327" t="s">
        <v>542</v>
      </c>
      <c r="F6" s="327"/>
      <c r="G6" s="327" t="s">
        <v>564</v>
      </c>
      <c r="H6" s="327" t="s">
        <v>563</v>
      </c>
      <c r="I6" s="325"/>
      <c r="J6" s="328" t="s">
        <v>513</v>
      </c>
      <c r="K6" s="329" t="s">
        <v>565</v>
      </c>
      <c r="L6" s="325" t="s">
        <v>566</v>
      </c>
      <c r="M6" s="325"/>
      <c r="N6" s="20" t="s">
        <v>669</v>
      </c>
      <c r="O6" s="325"/>
      <c r="P6" s="325"/>
      <c r="Q6" s="421"/>
    </row>
    <row r="7" spans="3:17" ht="15">
      <c r="C7" s="413"/>
      <c r="D7" s="326" t="s">
        <v>541</v>
      </c>
      <c r="E7" s="327" t="s">
        <v>563</v>
      </c>
      <c r="F7" s="327"/>
      <c r="G7" s="327" t="s">
        <v>567</v>
      </c>
      <c r="H7" s="327" t="s">
        <v>563</v>
      </c>
      <c r="I7" s="325"/>
      <c r="J7" s="325"/>
      <c r="K7" s="325"/>
      <c r="L7" s="325" t="s">
        <v>568</v>
      </c>
      <c r="M7" s="325"/>
      <c r="N7" s="20" t="s">
        <v>670</v>
      </c>
      <c r="O7" s="325"/>
      <c r="P7" s="325"/>
      <c r="Q7" s="421"/>
    </row>
    <row r="8" spans="3:17" ht="15">
      <c r="C8" s="413"/>
      <c r="D8" s="325"/>
      <c r="E8" s="325"/>
      <c r="F8" s="325"/>
      <c r="G8" s="330" t="s">
        <v>569</v>
      </c>
      <c r="H8" s="330" t="s">
        <v>570</v>
      </c>
      <c r="I8" s="325"/>
      <c r="J8" s="325"/>
      <c r="K8" s="325"/>
      <c r="L8" s="325" t="s">
        <v>571</v>
      </c>
      <c r="M8" s="325"/>
      <c r="N8" s="20" t="s">
        <v>671</v>
      </c>
      <c r="O8" s="325"/>
      <c r="P8" s="325"/>
      <c r="Q8" s="421"/>
    </row>
    <row r="9" spans="3:17" ht="15">
      <c r="C9" s="413"/>
      <c r="D9" s="325"/>
      <c r="E9" s="325"/>
      <c r="F9" s="325"/>
      <c r="G9" s="598" t="s">
        <v>667</v>
      </c>
      <c r="H9" s="599" t="s">
        <v>666</v>
      </c>
      <c r="I9" s="325"/>
      <c r="J9" s="325"/>
      <c r="K9" s="325"/>
      <c r="L9" s="325" t="s">
        <v>573</v>
      </c>
      <c r="M9" s="325"/>
      <c r="N9" s="20" t="s">
        <v>741</v>
      </c>
      <c r="O9" s="325"/>
      <c r="P9" s="325"/>
      <c r="Q9" s="421"/>
    </row>
    <row r="10" spans="3:17" ht="15" thickBot="1">
      <c r="C10" s="425"/>
      <c r="D10" s="418"/>
      <c r="E10" s="418"/>
      <c r="F10" s="426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22"/>
    </row>
    <row r="11" ht="15" thickTop="1"/>
    <row r="12" ht="15" thickBot="1"/>
    <row r="13" spans="3:17" ht="15" thickTop="1">
      <c r="C13" s="415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20"/>
    </row>
    <row r="14" spans="3:17" ht="15">
      <c r="C14" s="414"/>
      <c r="D14" s="428" t="s">
        <v>57</v>
      </c>
      <c r="E14" s="412"/>
      <c r="F14" s="412"/>
      <c r="G14" s="412"/>
      <c r="H14" s="412"/>
      <c r="I14" s="412" t="s">
        <v>672</v>
      </c>
      <c r="J14" s="412"/>
      <c r="K14" s="412"/>
      <c r="L14" s="412"/>
      <c r="M14" s="412"/>
      <c r="N14" s="412"/>
      <c r="O14" s="325"/>
      <c r="P14" s="325"/>
      <c r="Q14" s="421"/>
    </row>
    <row r="15" spans="3:17" ht="14.25">
      <c r="C15" s="414"/>
      <c r="D15" s="322" t="s">
        <v>679</v>
      </c>
      <c r="E15" s="468" t="s">
        <v>680</v>
      </c>
      <c r="H15" s="325"/>
      <c r="I15" s="318" t="s">
        <v>574</v>
      </c>
      <c r="J15" s="429">
        <f>E17</f>
        <v>267</v>
      </c>
      <c r="K15" s="64" t="s">
        <v>674</v>
      </c>
      <c r="L15" s="412"/>
      <c r="M15" s="64" t="s">
        <v>676</v>
      </c>
      <c r="N15" s="369"/>
      <c r="O15" s="369"/>
      <c r="P15" s="325"/>
      <c r="Q15" s="421"/>
    </row>
    <row r="16" spans="3:17" ht="15">
      <c r="C16" s="414"/>
      <c r="D16" s="325" t="s">
        <v>308</v>
      </c>
      <c r="E16" s="325"/>
      <c r="F16" s="325"/>
      <c r="H16" s="325"/>
      <c r="I16" s="318" t="s">
        <v>574</v>
      </c>
      <c r="J16" s="429">
        <f>0.3048*J15</f>
        <v>81.3816</v>
      </c>
      <c r="K16" s="64" t="s">
        <v>675</v>
      </c>
      <c r="L16" s="412"/>
      <c r="M16" s="328" t="s">
        <v>580</v>
      </c>
      <c r="N16" s="328" t="s">
        <v>581</v>
      </c>
      <c r="O16" s="369"/>
      <c r="P16" s="325"/>
      <c r="Q16" s="421"/>
    </row>
    <row r="17" spans="3:17" ht="14.25">
      <c r="C17" s="414"/>
      <c r="D17" s="318" t="s">
        <v>574</v>
      </c>
      <c r="E17" s="469">
        <v>267</v>
      </c>
      <c r="F17" s="64" t="s">
        <v>674</v>
      </c>
      <c r="G17" s="325"/>
      <c r="H17" s="325"/>
      <c r="I17" s="318" t="s">
        <v>574</v>
      </c>
      <c r="J17" s="411">
        <f>J16*1000*g</f>
        <v>798080.86764</v>
      </c>
      <c r="K17" s="64" t="s">
        <v>575</v>
      </c>
      <c r="L17" s="412"/>
      <c r="M17" s="328" t="s">
        <v>513</v>
      </c>
      <c r="N17" s="365">
        <f>J26</f>
        <v>1.3328003801603205</v>
      </c>
      <c r="O17" s="64" t="s">
        <v>195</v>
      </c>
      <c r="P17" s="325"/>
      <c r="Q17" s="421"/>
    </row>
    <row r="18" spans="3:17" ht="15">
      <c r="C18" s="414"/>
      <c r="D18" s="325" t="s">
        <v>553</v>
      </c>
      <c r="E18" s="325"/>
      <c r="F18" s="325"/>
      <c r="G18" s="325"/>
      <c r="H18" s="325"/>
      <c r="I18" s="318" t="s">
        <v>574</v>
      </c>
      <c r="J18" s="464">
        <f>J17/100/1000</f>
        <v>7.9808086764</v>
      </c>
      <c r="K18" s="322" t="s">
        <v>50</v>
      </c>
      <c r="L18" s="412"/>
      <c r="M18" s="318" t="s">
        <v>578</v>
      </c>
      <c r="N18" s="331">
        <f>J24</f>
        <v>0.6</v>
      </c>
      <c r="O18" s="369"/>
      <c r="P18" s="325"/>
      <c r="Q18" s="421"/>
    </row>
    <row r="19" spans="3:17" ht="15">
      <c r="C19" s="414"/>
      <c r="D19" s="318" t="s">
        <v>576</v>
      </c>
      <c r="E19" s="469">
        <v>998</v>
      </c>
      <c r="F19" s="64" t="s">
        <v>577</v>
      </c>
      <c r="G19" s="325"/>
      <c r="H19" s="325"/>
      <c r="I19" s="369"/>
      <c r="J19" s="369"/>
      <c r="K19" s="369"/>
      <c r="L19" s="412"/>
      <c r="M19" s="328" t="s">
        <v>580</v>
      </c>
      <c r="N19" s="465">
        <f>N17*(1-N18)</f>
        <v>0.5331201520641282</v>
      </c>
      <c r="O19" s="64" t="s">
        <v>195</v>
      </c>
      <c r="P19" s="325"/>
      <c r="Q19" s="421"/>
    </row>
    <row r="20" spans="3:17" ht="14.25">
      <c r="C20" s="414"/>
      <c r="D20" s="325" t="s">
        <v>682</v>
      </c>
      <c r="E20" s="325"/>
      <c r="F20" s="325"/>
      <c r="G20" s="325"/>
      <c r="H20" s="325"/>
      <c r="I20" s="325" t="s">
        <v>673</v>
      </c>
      <c r="J20" s="325"/>
      <c r="K20" s="325"/>
      <c r="L20" s="412"/>
      <c r="M20" s="325"/>
      <c r="N20" s="325"/>
      <c r="O20" s="325"/>
      <c r="P20" s="325"/>
      <c r="Q20" s="421"/>
    </row>
    <row r="21" spans="3:17" ht="15">
      <c r="C21" s="414"/>
      <c r="D21" s="318" t="s">
        <v>578</v>
      </c>
      <c r="E21" s="470">
        <v>0.6</v>
      </c>
      <c r="F21" s="369" t="s">
        <v>370</v>
      </c>
      <c r="G21" s="325"/>
      <c r="H21" s="325"/>
      <c r="I21" s="328" t="s">
        <v>418</v>
      </c>
      <c r="J21" s="329" t="s">
        <v>572</v>
      </c>
      <c r="K21" s="369"/>
      <c r="L21" s="412"/>
      <c r="M21" s="412" t="s">
        <v>677</v>
      </c>
      <c r="N21" s="412"/>
      <c r="O21" s="412"/>
      <c r="P21" s="412"/>
      <c r="Q21" s="421"/>
    </row>
    <row r="22" spans="3:17" ht="14.25">
      <c r="C22" s="414"/>
      <c r="D22" s="325" t="s">
        <v>681</v>
      </c>
      <c r="E22" s="325"/>
      <c r="F22" s="325"/>
      <c r="G22" s="325"/>
      <c r="H22" s="325"/>
      <c r="I22" s="318" t="s">
        <v>574</v>
      </c>
      <c r="J22" s="411">
        <f>J17</f>
        <v>798080.86764</v>
      </c>
      <c r="K22" s="64" t="s">
        <v>575</v>
      </c>
      <c r="L22" s="412"/>
      <c r="M22" s="328" t="s">
        <v>513</v>
      </c>
      <c r="N22" s="318" t="s">
        <v>582</v>
      </c>
      <c r="O22" s="325"/>
      <c r="P22" s="412"/>
      <c r="Q22" s="421"/>
    </row>
    <row r="23" spans="3:17" ht="15">
      <c r="C23" s="414"/>
      <c r="D23" s="318" t="s">
        <v>583</v>
      </c>
      <c r="E23" s="470">
        <v>4.182</v>
      </c>
      <c r="F23" s="64" t="s">
        <v>584</v>
      </c>
      <c r="G23" s="325"/>
      <c r="H23" s="325"/>
      <c r="I23" s="318" t="s">
        <v>576</v>
      </c>
      <c r="J23" s="429">
        <f>E19</f>
        <v>998</v>
      </c>
      <c r="K23" s="64" t="s">
        <v>577</v>
      </c>
      <c r="L23" s="412"/>
      <c r="M23" s="318" t="s">
        <v>585</v>
      </c>
      <c r="N23" s="328" t="s">
        <v>586</v>
      </c>
      <c r="O23" s="325"/>
      <c r="P23" s="412"/>
      <c r="Q23" s="421"/>
    </row>
    <row r="24" spans="3:17" ht="15">
      <c r="C24" s="414"/>
      <c r="G24" s="325"/>
      <c r="H24" s="325"/>
      <c r="I24" s="318" t="s">
        <v>578</v>
      </c>
      <c r="J24" s="331">
        <f>E21</f>
        <v>0.6</v>
      </c>
      <c r="K24" s="369"/>
      <c r="L24" s="412"/>
      <c r="M24" s="328" t="s">
        <v>513</v>
      </c>
      <c r="N24" s="365">
        <f>N19</f>
        <v>0.5331201520641282</v>
      </c>
      <c r="O24" s="64" t="s">
        <v>195</v>
      </c>
      <c r="P24" s="412"/>
      <c r="Q24" s="421"/>
    </row>
    <row r="25" spans="3:17" ht="14.25">
      <c r="C25" s="414"/>
      <c r="D25" s="325"/>
      <c r="E25" s="325"/>
      <c r="F25" s="325"/>
      <c r="G25" s="325"/>
      <c r="H25" s="325"/>
      <c r="I25" s="328" t="s">
        <v>418</v>
      </c>
      <c r="J25" s="429">
        <f>(J22/J23)/J24</f>
        <v>1332.8003801603206</v>
      </c>
      <c r="K25" s="64" t="s">
        <v>579</v>
      </c>
      <c r="L25" s="412"/>
      <c r="M25" s="318" t="s">
        <v>583</v>
      </c>
      <c r="N25" s="331">
        <f>E23</f>
        <v>4.182</v>
      </c>
      <c r="O25" s="64" t="s">
        <v>584</v>
      </c>
      <c r="P25" s="412"/>
      <c r="Q25" s="421"/>
    </row>
    <row r="26" spans="3:17" ht="14.25">
      <c r="C26" s="523"/>
      <c r="D26" s="524" t="s">
        <v>757</v>
      </c>
      <c r="E26" s="524">
        <v>9.80665</v>
      </c>
      <c r="F26" s="325" t="s">
        <v>758</v>
      </c>
      <c r="G26" s="325"/>
      <c r="H26" s="325"/>
      <c r="I26" s="328" t="s">
        <v>513</v>
      </c>
      <c r="J26" s="466">
        <f>J25/1000</f>
        <v>1.3328003801603205</v>
      </c>
      <c r="K26" s="64" t="s">
        <v>195</v>
      </c>
      <c r="L26" s="412"/>
      <c r="M26" s="318" t="s">
        <v>585</v>
      </c>
      <c r="N26" s="467">
        <f>N24/N25</f>
        <v>0.12747971115832812</v>
      </c>
      <c r="O26" s="64" t="s">
        <v>587</v>
      </c>
      <c r="P26" s="412"/>
      <c r="Q26" s="421"/>
    </row>
    <row r="27" spans="3:17" ht="15" thickBot="1">
      <c r="C27" s="417"/>
      <c r="D27" s="418"/>
      <c r="E27" s="418"/>
      <c r="F27" s="418"/>
      <c r="G27" s="418"/>
      <c r="H27" s="418"/>
      <c r="I27" s="418"/>
      <c r="J27" s="418"/>
      <c r="K27" s="418"/>
      <c r="L27" s="419"/>
      <c r="M27" s="419"/>
      <c r="N27" s="419"/>
      <c r="O27" s="419"/>
      <c r="P27" s="419"/>
      <c r="Q27" s="422"/>
    </row>
    <row r="28" spans="3:16" ht="15" thickTop="1">
      <c r="C28" s="412"/>
      <c r="L28" s="412"/>
      <c r="P28" s="412"/>
    </row>
    <row r="29" spans="3:16" ht="14.25">
      <c r="C29" s="412"/>
      <c r="L29" s="412"/>
      <c r="P29" s="412"/>
    </row>
    <row r="30" spans="3:16" ht="14.25">
      <c r="C30" s="412"/>
      <c r="L30" s="412"/>
      <c r="M30" s="412"/>
      <c r="N30" s="412"/>
      <c r="O30" s="412"/>
      <c r="P30" s="412"/>
    </row>
    <row r="31" spans="3:16" ht="14.25">
      <c r="C31" s="412"/>
      <c r="L31" s="412"/>
      <c r="M31" s="412"/>
      <c r="N31" s="412"/>
      <c r="O31" s="412"/>
      <c r="P31" s="412"/>
    </row>
    <row r="32" spans="3:16" ht="14.25">
      <c r="C32" s="412"/>
      <c r="L32" s="412"/>
      <c r="M32" s="412"/>
      <c r="N32" s="412"/>
      <c r="O32" s="412"/>
      <c r="P32" s="412"/>
    </row>
    <row r="33" spans="3:16" ht="14.25">
      <c r="C33" s="412"/>
      <c r="L33" s="412"/>
      <c r="M33" s="412"/>
      <c r="N33" s="412"/>
      <c r="O33" s="412"/>
      <c r="P33" s="4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B1:AB40"/>
  <sheetViews>
    <sheetView showGridLines="0" zoomScale="80" zoomScaleNormal="80" zoomScalePageLayoutView="0" workbookViewId="0" topLeftCell="A1">
      <selection activeCell="N25" sqref="N25"/>
    </sheetView>
  </sheetViews>
  <sheetFormatPr defaultColWidth="11.421875" defaultRowHeight="15"/>
  <cols>
    <col min="1" max="1" width="7.57421875" style="332" customWidth="1"/>
    <col min="2" max="2" width="4.57421875" style="332" customWidth="1"/>
    <col min="3" max="3" width="11.421875" style="332" customWidth="1"/>
    <col min="4" max="4" width="12.421875" style="332" bestFit="1" customWidth="1"/>
    <col min="5" max="6" width="11.421875" style="332" customWidth="1"/>
    <col min="7" max="7" width="12.421875" style="332" bestFit="1" customWidth="1"/>
    <col min="8" max="8" width="12.28125" style="332" bestFit="1" customWidth="1"/>
    <col min="9" max="16384" width="11.421875" style="332" customWidth="1"/>
  </cols>
  <sheetData>
    <row r="1" ht="13.5" thickBot="1">
      <c r="Q1" s="363" t="str">
        <f>'Index of functions'!O2</f>
        <v>Rev. cjc 01.06.2016</v>
      </c>
    </row>
    <row r="2" spans="2:17" ht="13.5" thickTop="1">
      <c r="B2" s="333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5"/>
    </row>
    <row r="3" spans="2:17" ht="18">
      <c r="B3" s="336"/>
      <c r="C3" s="389" t="s">
        <v>639</v>
      </c>
      <c r="D3" s="337"/>
      <c r="E3" s="337"/>
      <c r="F3" s="337"/>
      <c r="G3" s="337" t="s">
        <v>640</v>
      </c>
      <c r="H3" s="337"/>
      <c r="I3" s="337"/>
      <c r="J3" s="337"/>
      <c r="K3" s="337" t="s">
        <v>641</v>
      </c>
      <c r="L3" s="337"/>
      <c r="M3" s="337"/>
      <c r="N3" s="337"/>
      <c r="O3" s="337" t="s">
        <v>642</v>
      </c>
      <c r="P3" s="337"/>
      <c r="Q3" s="338"/>
    </row>
    <row r="4" spans="2:17" ht="14.25">
      <c r="B4" s="336"/>
      <c r="C4" s="20"/>
      <c r="D4" s="337"/>
      <c r="E4" s="337"/>
      <c r="F4" s="337"/>
      <c r="G4" s="339" t="s">
        <v>597</v>
      </c>
      <c r="H4" s="337" t="s">
        <v>68</v>
      </c>
      <c r="I4" s="337"/>
      <c r="J4" s="337"/>
      <c r="K4" s="339" t="s">
        <v>598</v>
      </c>
      <c r="L4" s="518" t="s">
        <v>555</v>
      </c>
      <c r="M4" s="337"/>
      <c r="N4" s="337"/>
      <c r="O4" s="339" t="s">
        <v>622</v>
      </c>
      <c r="P4" s="339" t="s">
        <v>623</v>
      </c>
      <c r="Q4" s="338"/>
    </row>
    <row r="5" spans="2:17" ht="15">
      <c r="B5" s="336"/>
      <c r="C5" s="431" t="s">
        <v>683</v>
      </c>
      <c r="D5" s="337"/>
      <c r="E5" s="337"/>
      <c r="F5" s="337"/>
      <c r="G5" s="339" t="s">
        <v>607</v>
      </c>
      <c r="H5" s="339">
        <f>D15</f>
        <v>10</v>
      </c>
      <c r="I5" s="337" t="s">
        <v>608</v>
      </c>
      <c r="J5" s="337"/>
      <c r="K5" s="339" t="s">
        <v>352</v>
      </c>
      <c r="L5" s="352">
        <f>H35</f>
        <v>0.22033259625051327</v>
      </c>
      <c r="M5" s="337" t="s">
        <v>624</v>
      </c>
      <c r="N5" s="337"/>
      <c r="O5" s="339" t="s">
        <v>352</v>
      </c>
      <c r="P5" s="344">
        <f>L29</f>
        <v>34.66089812453924</v>
      </c>
      <c r="Q5" s="338" t="s">
        <v>262</v>
      </c>
    </row>
    <row r="6" spans="2:17" ht="12.75">
      <c r="B6" s="336"/>
      <c r="C6" s="337" t="s">
        <v>643</v>
      </c>
      <c r="D6" s="337"/>
      <c r="E6" s="337"/>
      <c r="F6" s="337"/>
      <c r="G6" s="339" t="s">
        <v>612</v>
      </c>
      <c r="H6" s="339" t="str">
        <f>D16</f>
        <v>STD</v>
      </c>
      <c r="I6" s="337"/>
      <c r="J6" s="337"/>
      <c r="K6" s="339" t="s">
        <v>598</v>
      </c>
      <c r="L6" s="343">
        <f>1/L5</f>
        <v>4.538593095245073</v>
      </c>
      <c r="M6" s="337" t="s">
        <v>577</v>
      </c>
      <c r="N6" s="337"/>
      <c r="O6" s="339" t="s">
        <v>597</v>
      </c>
      <c r="P6" s="339">
        <f>H8</f>
        <v>0.25446</v>
      </c>
      <c r="Q6" s="338" t="s">
        <v>35</v>
      </c>
    </row>
    <row r="7" spans="2:17" ht="12.75">
      <c r="B7" s="336"/>
      <c r="C7" s="337" t="s">
        <v>644</v>
      </c>
      <c r="D7" s="337"/>
      <c r="E7" s="337"/>
      <c r="F7" s="337"/>
      <c r="G7" s="339" t="s">
        <v>597</v>
      </c>
      <c r="H7" s="344">
        <f>Pipe_Imp_CS_Dint_dn_sch(H5,H6)</f>
        <v>254.46</v>
      </c>
      <c r="I7" s="337" t="s">
        <v>59</v>
      </c>
      <c r="J7" s="337"/>
      <c r="K7" s="337"/>
      <c r="L7" s="337"/>
      <c r="M7" s="337"/>
      <c r="N7" s="337"/>
      <c r="O7" s="339" t="s">
        <v>626</v>
      </c>
      <c r="P7" s="353">
        <f>L17</f>
        <v>3.2669364485126884E-06</v>
      </c>
      <c r="Q7" s="338" t="s">
        <v>627</v>
      </c>
    </row>
    <row r="8" spans="2:17" ht="12.75">
      <c r="B8" s="336"/>
      <c r="C8" s="337" t="s">
        <v>645</v>
      </c>
      <c r="D8" s="337"/>
      <c r="E8" s="337"/>
      <c r="F8" s="337"/>
      <c r="G8" s="339" t="s">
        <v>597</v>
      </c>
      <c r="H8" s="350">
        <f>H7/1000</f>
        <v>0.25446</v>
      </c>
      <c r="I8" s="337" t="s">
        <v>630</v>
      </c>
      <c r="J8" s="337"/>
      <c r="K8" s="337" t="s">
        <v>646</v>
      </c>
      <c r="L8" s="337"/>
      <c r="M8" s="337"/>
      <c r="N8" s="337"/>
      <c r="O8" s="339" t="s">
        <v>622</v>
      </c>
      <c r="P8" s="495">
        <f>P5*P6/P7</f>
        <v>2699719.5310565587</v>
      </c>
      <c r="Q8" s="338" t="s">
        <v>370</v>
      </c>
    </row>
    <row r="9" spans="2:17" ht="12.75">
      <c r="B9" s="336"/>
      <c r="C9" s="337" t="s">
        <v>647</v>
      </c>
      <c r="D9" s="337"/>
      <c r="E9" s="337"/>
      <c r="F9" s="337"/>
      <c r="G9" s="337"/>
      <c r="H9" s="337"/>
      <c r="I9" s="337"/>
      <c r="J9" s="337"/>
      <c r="K9" s="339" t="s">
        <v>628</v>
      </c>
      <c r="L9" s="337" t="s">
        <v>629</v>
      </c>
      <c r="M9" s="337"/>
      <c r="N9" s="337"/>
      <c r="O9" s="337"/>
      <c r="P9" s="337"/>
      <c r="Q9" s="338"/>
    </row>
    <row r="10" spans="2:17" ht="12.75">
      <c r="B10" s="336"/>
      <c r="C10" s="337" t="s">
        <v>648</v>
      </c>
      <c r="D10" s="337"/>
      <c r="E10" s="337"/>
      <c r="F10" s="337"/>
      <c r="G10" s="337" t="s">
        <v>649</v>
      </c>
      <c r="H10" s="337"/>
      <c r="I10" s="337"/>
      <c r="J10" s="337"/>
      <c r="K10" s="339" t="s">
        <v>185</v>
      </c>
      <c r="L10" s="344">
        <f>H30</f>
        <v>174.24029582521337</v>
      </c>
      <c r="M10" s="337" t="s">
        <v>36</v>
      </c>
      <c r="N10" s="337"/>
      <c r="O10" s="337" t="s">
        <v>650</v>
      </c>
      <c r="P10" s="337"/>
      <c r="Q10" s="338"/>
    </row>
    <row r="11" spans="2:17" ht="12.75">
      <c r="B11" s="336"/>
      <c r="C11" s="337" t="s">
        <v>651</v>
      </c>
      <c r="D11" s="337"/>
      <c r="E11" s="337"/>
      <c r="F11" s="337"/>
      <c r="G11" s="339" t="s">
        <v>614</v>
      </c>
      <c r="H11" s="339" t="s">
        <v>632</v>
      </c>
      <c r="I11" s="337"/>
      <c r="J11" s="337"/>
      <c r="K11" s="339" t="s">
        <v>628</v>
      </c>
      <c r="L11" s="495">
        <f>SaturSteam_DynViscosity_t(H30)</f>
        <v>1.4827295207824147E-05</v>
      </c>
      <c r="M11" s="337" t="s">
        <v>41</v>
      </c>
      <c r="N11" s="337"/>
      <c r="O11" s="339" t="s">
        <v>596</v>
      </c>
      <c r="P11" s="337"/>
      <c r="Q11" s="338"/>
    </row>
    <row r="12" spans="2:17" ht="12.75">
      <c r="B12" s="336"/>
      <c r="C12" s="337"/>
      <c r="D12" s="337"/>
      <c r="E12" s="337"/>
      <c r="F12" s="337"/>
      <c r="G12" s="339" t="s">
        <v>597</v>
      </c>
      <c r="H12" s="339">
        <f>H8</f>
        <v>0.25446</v>
      </c>
      <c r="I12" s="337" t="s">
        <v>630</v>
      </c>
      <c r="J12" s="337"/>
      <c r="K12" s="337"/>
      <c r="L12" s="337"/>
      <c r="M12" s="337"/>
      <c r="N12" s="337"/>
      <c r="O12" s="339" t="s">
        <v>588</v>
      </c>
      <c r="P12" s="354">
        <f>H19</f>
        <v>3.9298907490371764E-05</v>
      </c>
      <c r="Q12" s="338" t="s">
        <v>370</v>
      </c>
    </row>
    <row r="13" spans="2:17" ht="15">
      <c r="B13" s="336"/>
      <c r="C13" s="339" t="s">
        <v>602</v>
      </c>
      <c r="D13" s="346">
        <v>8</v>
      </c>
      <c r="E13" s="337" t="s">
        <v>755</v>
      </c>
      <c r="F13" s="337"/>
      <c r="G13" s="339" t="s">
        <v>614</v>
      </c>
      <c r="H13" s="356">
        <f>(PI()/4)*H12^2</f>
        <v>0.05085444594282387</v>
      </c>
      <c r="I13" s="337" t="s">
        <v>615</v>
      </c>
      <c r="J13" s="337"/>
      <c r="K13" s="337" t="s">
        <v>652</v>
      </c>
      <c r="L13" s="337"/>
      <c r="M13" s="337"/>
      <c r="N13" s="337"/>
      <c r="O13" s="339" t="s">
        <v>622</v>
      </c>
      <c r="P13" s="355">
        <f>P8</f>
        <v>2699719.5310565587</v>
      </c>
      <c r="Q13" s="338" t="s">
        <v>370</v>
      </c>
    </row>
    <row r="14" spans="2:17" ht="12.75">
      <c r="B14" s="336"/>
      <c r="C14" s="339" t="s">
        <v>604</v>
      </c>
      <c r="D14" s="346">
        <v>2300</v>
      </c>
      <c r="E14" s="337" t="s">
        <v>605</v>
      </c>
      <c r="F14" s="337"/>
      <c r="G14" s="337"/>
      <c r="H14" s="337"/>
      <c r="I14" s="337"/>
      <c r="J14" s="337"/>
      <c r="K14" s="339" t="s">
        <v>626</v>
      </c>
      <c r="L14" s="339" t="s">
        <v>631</v>
      </c>
      <c r="M14" s="337"/>
      <c r="N14" s="337"/>
      <c r="O14" s="339" t="s">
        <v>596</v>
      </c>
      <c r="P14" s="350">
        <f>Pipe_Friction_Factor_Rrel_Re(P12,P13)</f>
        <v>0.011243919066047669</v>
      </c>
      <c r="Q14" s="338" t="s">
        <v>370</v>
      </c>
    </row>
    <row r="15" spans="2:17" ht="12.75">
      <c r="B15" s="336"/>
      <c r="C15" s="339" t="s">
        <v>607</v>
      </c>
      <c r="D15" s="346">
        <v>10</v>
      </c>
      <c r="E15" s="337" t="s">
        <v>608</v>
      </c>
      <c r="F15" s="337"/>
      <c r="G15" s="337" t="s">
        <v>653</v>
      </c>
      <c r="H15" s="337"/>
      <c r="I15" s="337"/>
      <c r="J15" s="337"/>
      <c r="K15" s="339" t="s">
        <v>628</v>
      </c>
      <c r="L15" s="353">
        <f>L11</f>
        <v>1.4827295207824147E-05</v>
      </c>
      <c r="M15" s="337" t="s">
        <v>41</v>
      </c>
      <c r="N15" s="337"/>
      <c r="O15" s="337"/>
      <c r="P15" s="337"/>
      <c r="Q15" s="338"/>
    </row>
    <row r="16" spans="2:17" ht="12.75">
      <c r="B16" s="336"/>
      <c r="C16" s="339" t="s">
        <v>612</v>
      </c>
      <c r="D16" s="346" t="s">
        <v>62</v>
      </c>
      <c r="E16" s="337" t="s">
        <v>370</v>
      </c>
      <c r="F16" s="337"/>
      <c r="G16" s="339" t="s">
        <v>588</v>
      </c>
      <c r="H16" s="337" t="s">
        <v>589</v>
      </c>
      <c r="I16" s="337"/>
      <c r="J16" s="337"/>
      <c r="K16" s="339" t="s">
        <v>598</v>
      </c>
      <c r="L16" s="341">
        <f>L6</f>
        <v>4.538593095245073</v>
      </c>
      <c r="M16" s="337" t="s">
        <v>577</v>
      </c>
      <c r="N16" s="337"/>
      <c r="O16" s="337" t="s">
        <v>654</v>
      </c>
      <c r="P16" s="337"/>
      <c r="Q16" s="338"/>
    </row>
    <row r="17" spans="2:17" ht="12.75">
      <c r="B17" s="336"/>
      <c r="C17" s="339" t="s">
        <v>594</v>
      </c>
      <c r="D17" s="346">
        <v>0.01</v>
      </c>
      <c r="E17" s="337" t="s">
        <v>59</v>
      </c>
      <c r="F17" s="337"/>
      <c r="G17" s="339" t="s">
        <v>594</v>
      </c>
      <c r="H17" s="339">
        <f>D17</f>
        <v>0.01</v>
      </c>
      <c r="I17" s="337" t="s">
        <v>59</v>
      </c>
      <c r="J17" s="337"/>
      <c r="K17" s="339" t="s">
        <v>626</v>
      </c>
      <c r="L17" s="495">
        <f>L15/L16</f>
        <v>3.2669364485126884E-06</v>
      </c>
      <c r="M17" s="337" t="s">
        <v>627</v>
      </c>
      <c r="N17" s="337"/>
      <c r="O17" s="339" t="s">
        <v>592</v>
      </c>
      <c r="P17" s="337" t="s">
        <v>593</v>
      </c>
      <c r="Q17" s="338"/>
    </row>
    <row r="18" spans="2:17" ht="12.75">
      <c r="B18" s="336"/>
      <c r="C18" s="339" t="s">
        <v>595</v>
      </c>
      <c r="D18" s="346">
        <v>8</v>
      </c>
      <c r="E18" s="337" t="s">
        <v>535</v>
      </c>
      <c r="F18" s="337"/>
      <c r="G18" s="339" t="s">
        <v>597</v>
      </c>
      <c r="H18" s="339">
        <f>H7</f>
        <v>254.46</v>
      </c>
      <c r="I18" s="337" t="s">
        <v>59</v>
      </c>
      <c r="J18" s="337"/>
      <c r="K18" s="337"/>
      <c r="L18" s="337"/>
      <c r="M18" s="337"/>
      <c r="N18" s="337"/>
      <c r="O18" s="339" t="s">
        <v>596</v>
      </c>
      <c r="P18" s="340">
        <f>P14</f>
        <v>0.011243919066047669</v>
      </c>
      <c r="Q18" s="338" t="s">
        <v>370</v>
      </c>
    </row>
    <row r="19" spans="2:17" ht="12.75">
      <c r="B19" s="336"/>
      <c r="C19" s="339" t="s">
        <v>616</v>
      </c>
      <c r="D19" s="346">
        <v>500</v>
      </c>
      <c r="E19" s="337" t="s">
        <v>35</v>
      </c>
      <c r="F19" s="337"/>
      <c r="G19" s="339" t="s">
        <v>588</v>
      </c>
      <c r="H19" s="342">
        <f>H17/H18</f>
        <v>3.9298907490371764E-05</v>
      </c>
      <c r="I19" s="337" t="s">
        <v>370</v>
      </c>
      <c r="J19" s="337"/>
      <c r="K19" s="337" t="s">
        <v>655</v>
      </c>
      <c r="L19" s="337"/>
      <c r="M19" s="337"/>
      <c r="N19" s="337"/>
      <c r="O19" s="339" t="s">
        <v>597</v>
      </c>
      <c r="P19" s="339">
        <f>H8</f>
        <v>0.25446</v>
      </c>
      <c r="Q19" s="338" t="s">
        <v>35</v>
      </c>
    </row>
    <row r="20" spans="2:28" ht="14.25">
      <c r="B20" s="336"/>
      <c r="C20" s="337"/>
      <c r="D20" s="337"/>
      <c r="E20" s="337"/>
      <c r="F20" s="337"/>
      <c r="G20" s="337"/>
      <c r="H20" s="337"/>
      <c r="I20" s="337"/>
      <c r="J20" s="337"/>
      <c r="K20" s="339" t="s">
        <v>590</v>
      </c>
      <c r="L20" s="518" t="s">
        <v>591</v>
      </c>
      <c r="M20" s="337"/>
      <c r="N20" s="337"/>
      <c r="O20" s="339" t="s">
        <v>600</v>
      </c>
      <c r="P20" s="344">
        <f>L36</f>
        <v>2726.282627364286</v>
      </c>
      <c r="Q20" s="338" t="s">
        <v>575</v>
      </c>
      <c r="U20" s="20"/>
      <c r="V20" s="20"/>
      <c r="W20" s="20"/>
      <c r="X20" s="20"/>
      <c r="Y20" s="20"/>
      <c r="Z20" s="20"/>
      <c r="AA20" s="20"/>
      <c r="AB20" s="437"/>
    </row>
    <row r="21" spans="2:17" ht="12.75">
      <c r="B21" s="336"/>
      <c r="C21" s="337"/>
      <c r="D21" s="337"/>
      <c r="E21" s="337"/>
      <c r="F21" s="337"/>
      <c r="G21" s="337" t="s">
        <v>656</v>
      </c>
      <c r="H21" s="337"/>
      <c r="I21" s="337"/>
      <c r="J21" s="337"/>
      <c r="K21" s="339" t="s">
        <v>595</v>
      </c>
      <c r="L21" s="339">
        <f>D18</f>
        <v>8</v>
      </c>
      <c r="M21" s="337" t="s">
        <v>535</v>
      </c>
      <c r="N21" s="337"/>
      <c r="O21" s="339" t="s">
        <v>592</v>
      </c>
      <c r="P21" s="345">
        <f>P18*(1/P19)*P20</f>
        <v>120.46726877802337</v>
      </c>
      <c r="Q21" s="338" t="s">
        <v>601</v>
      </c>
    </row>
    <row r="22" spans="2:17" ht="12.75">
      <c r="B22" s="336"/>
      <c r="C22" s="337" t="s">
        <v>657</v>
      </c>
      <c r="D22" s="337"/>
      <c r="E22" s="337"/>
      <c r="F22" s="337"/>
      <c r="G22" s="337" t="s">
        <v>326</v>
      </c>
      <c r="H22" s="337"/>
      <c r="I22" s="337"/>
      <c r="J22" s="337"/>
      <c r="K22" s="339" t="s">
        <v>598</v>
      </c>
      <c r="L22" s="341">
        <f>L6</f>
        <v>4.538593095245073</v>
      </c>
      <c r="M22" s="337" t="s">
        <v>577</v>
      </c>
      <c r="N22" s="337"/>
      <c r="O22" s="339"/>
      <c r="P22" s="337"/>
      <c r="Q22" s="338"/>
    </row>
    <row r="23" spans="2:17" ht="13.5">
      <c r="B23" s="336"/>
      <c r="C23" s="351" t="s">
        <v>658</v>
      </c>
      <c r="D23" s="337"/>
      <c r="E23" s="337"/>
      <c r="F23" s="337"/>
      <c r="G23" s="339" t="s">
        <v>71</v>
      </c>
      <c r="H23" s="337" t="s">
        <v>609</v>
      </c>
      <c r="I23" s="337"/>
      <c r="J23" s="337"/>
      <c r="K23" s="339" t="s">
        <v>590</v>
      </c>
      <c r="L23" s="343">
        <f>L21/L22</f>
        <v>1.7626607700041061</v>
      </c>
      <c r="M23" s="337" t="s">
        <v>599</v>
      </c>
      <c r="N23" s="337"/>
      <c r="O23" s="347" t="s">
        <v>659</v>
      </c>
      <c r="P23" s="337"/>
      <c r="Q23" s="338"/>
    </row>
    <row r="24" spans="2:17" ht="12.75">
      <c r="B24" s="336"/>
      <c r="C24" s="339" t="s">
        <v>604</v>
      </c>
      <c r="D24" s="339">
        <f>D14</f>
        <v>2300</v>
      </c>
      <c r="E24" s="337" t="s">
        <v>620</v>
      </c>
      <c r="F24" s="337"/>
      <c r="G24" s="339" t="s">
        <v>613</v>
      </c>
      <c r="H24" s="341">
        <f>D32</f>
        <v>8.765784215801162</v>
      </c>
      <c r="I24" s="337" t="s">
        <v>50</v>
      </c>
      <c r="J24" s="337"/>
      <c r="K24" s="337"/>
      <c r="L24" s="337"/>
      <c r="M24" s="337"/>
      <c r="N24" s="337"/>
      <c r="O24" s="339" t="s">
        <v>610</v>
      </c>
      <c r="P24" s="337" t="s">
        <v>611</v>
      </c>
      <c r="Q24" s="338"/>
    </row>
    <row r="25" spans="2:17" ht="15">
      <c r="B25" s="336"/>
      <c r="C25" s="339" t="s">
        <v>619</v>
      </c>
      <c r="D25" s="344">
        <f>101.325*(1-0.0000225577*D24)^5.25588</f>
        <v>76.57842158011613</v>
      </c>
      <c r="E25" s="337" t="s">
        <v>617</v>
      </c>
      <c r="F25" s="337"/>
      <c r="G25" s="339" t="s">
        <v>71</v>
      </c>
      <c r="H25" s="343">
        <f>SaturSteam_Entropy_p(H24)</f>
        <v>6.630281316952795</v>
      </c>
      <c r="I25" s="337" t="s">
        <v>38</v>
      </c>
      <c r="J25" s="337"/>
      <c r="K25" s="337" t="s">
        <v>735</v>
      </c>
      <c r="L25" s="337"/>
      <c r="M25" s="337"/>
      <c r="N25" s="337"/>
      <c r="O25" s="339" t="s">
        <v>592</v>
      </c>
      <c r="P25" s="344">
        <f>P21</f>
        <v>120.46726877802337</v>
      </c>
      <c r="Q25" s="338" t="s">
        <v>601</v>
      </c>
    </row>
    <row r="26" spans="2:17" ht="15">
      <c r="B26" s="336"/>
      <c r="C26" s="339" t="s">
        <v>619</v>
      </c>
      <c r="D26" s="343">
        <f>D25/100</f>
        <v>0.7657842158011613</v>
      </c>
      <c r="E26" s="337" t="s">
        <v>50</v>
      </c>
      <c r="F26" s="337"/>
      <c r="G26" s="337"/>
      <c r="H26" s="337"/>
      <c r="I26" s="337"/>
      <c r="J26" s="337"/>
      <c r="K26" s="339" t="s">
        <v>352</v>
      </c>
      <c r="L26" s="339" t="s">
        <v>606</v>
      </c>
      <c r="M26" s="337"/>
      <c r="N26" s="337"/>
      <c r="O26" s="339" t="s">
        <v>739</v>
      </c>
      <c r="P26" s="352">
        <f>P25/100/1000*100</f>
        <v>0.12046726877802336</v>
      </c>
      <c r="Q26" s="338" t="s">
        <v>740</v>
      </c>
    </row>
    <row r="27" spans="2:17" ht="12.75">
      <c r="B27" s="336"/>
      <c r="C27" s="337"/>
      <c r="D27" s="337"/>
      <c r="E27" s="337"/>
      <c r="F27" s="337"/>
      <c r="G27" s="337" t="s">
        <v>305</v>
      </c>
      <c r="H27" s="337"/>
      <c r="I27" s="337"/>
      <c r="J27" s="337"/>
      <c r="K27" s="339" t="s">
        <v>590</v>
      </c>
      <c r="L27" s="341">
        <f>L23</f>
        <v>1.7626607700041061</v>
      </c>
      <c r="M27" s="337" t="s">
        <v>599</v>
      </c>
      <c r="N27" s="337"/>
      <c r="O27" s="339" t="s">
        <v>616</v>
      </c>
      <c r="P27" s="339">
        <f>D19</f>
        <v>500</v>
      </c>
      <c r="Q27" s="338" t="s">
        <v>35</v>
      </c>
    </row>
    <row r="28" spans="2:17" ht="14.25">
      <c r="B28" s="336"/>
      <c r="C28" s="337" t="s">
        <v>660</v>
      </c>
      <c r="D28" s="337"/>
      <c r="E28" s="337"/>
      <c r="F28" s="337"/>
      <c r="G28" s="339" t="s">
        <v>185</v>
      </c>
      <c r="H28" s="58" t="s">
        <v>192</v>
      </c>
      <c r="I28" s="337"/>
      <c r="J28" s="337"/>
      <c r="K28" s="339" t="s">
        <v>614</v>
      </c>
      <c r="L28" s="348">
        <f>H13</f>
        <v>0.05085444594282387</v>
      </c>
      <c r="M28" s="337" t="s">
        <v>615</v>
      </c>
      <c r="N28" s="337"/>
      <c r="O28" s="339" t="s">
        <v>610</v>
      </c>
      <c r="P28" s="349">
        <f>P25*P27</f>
        <v>60233.634389011684</v>
      </c>
      <c r="Q28" s="338" t="s">
        <v>575</v>
      </c>
    </row>
    <row r="29" spans="2:17" ht="15">
      <c r="B29" s="336"/>
      <c r="C29" s="339" t="s">
        <v>613</v>
      </c>
      <c r="D29" s="339" t="s">
        <v>625</v>
      </c>
      <c r="E29" s="337"/>
      <c r="F29" s="337"/>
      <c r="G29" s="339" t="s">
        <v>181</v>
      </c>
      <c r="H29" s="341">
        <f>D32</f>
        <v>8.765784215801162</v>
      </c>
      <c r="I29" s="337" t="s">
        <v>50</v>
      </c>
      <c r="J29" s="337"/>
      <c r="K29" s="339" t="s">
        <v>352</v>
      </c>
      <c r="L29" s="345">
        <f>L27/L28</f>
        <v>34.66089812453924</v>
      </c>
      <c r="M29" s="337" t="s">
        <v>262</v>
      </c>
      <c r="N29" s="337"/>
      <c r="O29" s="339" t="s">
        <v>610</v>
      </c>
      <c r="P29" s="341">
        <f>P28/1000</f>
        <v>60.233634389011684</v>
      </c>
      <c r="Q29" s="338" t="s">
        <v>617</v>
      </c>
    </row>
    <row r="30" spans="2:17" ht="15">
      <c r="B30" s="336"/>
      <c r="C30" s="339" t="s">
        <v>619</v>
      </c>
      <c r="D30" s="341">
        <f>D26</f>
        <v>0.7657842158011613</v>
      </c>
      <c r="E30" s="337" t="s">
        <v>50</v>
      </c>
      <c r="F30" s="337"/>
      <c r="G30" s="339" t="s">
        <v>185</v>
      </c>
      <c r="H30" s="364">
        <f>H2O_SaturationTemp_p(H29)</f>
        <v>174.24029582521337</v>
      </c>
      <c r="I30" s="337" t="s">
        <v>36</v>
      </c>
      <c r="J30" s="337"/>
      <c r="K30" s="583" t="str">
        <f>IF(AND(L29&gt;10,L29&lt;38),"OK. Velocity within range","Wrong. Velocity out of range")</f>
        <v>OK. Velocity within range</v>
      </c>
      <c r="L30" s="583"/>
      <c r="M30" s="583"/>
      <c r="N30" s="337"/>
      <c r="O30" s="339" t="s">
        <v>610</v>
      </c>
      <c r="P30" s="350">
        <f>P29/100</f>
        <v>0.6023363438901168</v>
      </c>
      <c r="Q30" s="338" t="s">
        <v>50</v>
      </c>
    </row>
    <row r="31" spans="2:17" ht="15">
      <c r="B31" s="336"/>
      <c r="C31" s="339" t="s">
        <v>602</v>
      </c>
      <c r="D31" s="339">
        <f>D13</f>
        <v>8</v>
      </c>
      <c r="E31" s="337" t="s">
        <v>603</v>
      </c>
      <c r="F31" s="337"/>
      <c r="G31" s="337"/>
      <c r="H31" s="337"/>
      <c r="I31" s="337"/>
      <c r="J31" s="337"/>
      <c r="N31" s="337"/>
      <c r="O31" s="337"/>
      <c r="P31" s="337"/>
      <c r="Q31" s="338"/>
    </row>
    <row r="32" spans="2:17" ht="12.75">
      <c r="B32" s="336"/>
      <c r="C32" s="339" t="s">
        <v>613</v>
      </c>
      <c r="D32" s="343">
        <f>D30+D31</f>
        <v>8.765784215801162</v>
      </c>
      <c r="E32" s="337" t="s">
        <v>50</v>
      </c>
      <c r="F32" s="337"/>
      <c r="G32" s="337" t="s">
        <v>350</v>
      </c>
      <c r="H32" s="339"/>
      <c r="I32" s="337"/>
      <c r="J32" s="337"/>
      <c r="K32" s="347" t="s">
        <v>661</v>
      </c>
      <c r="L32" s="337"/>
      <c r="M32" s="337"/>
      <c r="N32" s="337"/>
      <c r="O32" s="337" t="s">
        <v>737</v>
      </c>
      <c r="P32" s="337"/>
      <c r="Q32" s="338"/>
    </row>
    <row r="33" spans="2:17" ht="15">
      <c r="B33" s="336"/>
      <c r="C33" s="337"/>
      <c r="D33" s="337"/>
      <c r="E33" s="337"/>
      <c r="F33" s="337"/>
      <c r="G33" s="339" t="s">
        <v>352</v>
      </c>
      <c r="H33" s="337" t="s">
        <v>621</v>
      </c>
      <c r="I33" s="337"/>
      <c r="J33" s="337"/>
      <c r="K33" s="339" t="s">
        <v>600</v>
      </c>
      <c r="L33" s="337" t="s">
        <v>618</v>
      </c>
      <c r="M33" s="337"/>
      <c r="N33" s="337"/>
      <c r="O33" s="339" t="s">
        <v>738</v>
      </c>
      <c r="P33" s="343">
        <f>P26</f>
        <v>0.12046726877802336</v>
      </c>
      <c r="Q33" s="338" t="s">
        <v>740</v>
      </c>
    </row>
    <row r="34" spans="2:17" ht="12.75">
      <c r="B34" s="336"/>
      <c r="C34" s="337" t="s">
        <v>756</v>
      </c>
      <c r="D34" s="337"/>
      <c r="E34" s="337"/>
      <c r="F34" s="337"/>
      <c r="G34" s="339" t="s">
        <v>185</v>
      </c>
      <c r="H34" s="344">
        <f>H30</f>
        <v>174.24029582521337</v>
      </c>
      <c r="I34" s="337" t="s">
        <v>36</v>
      </c>
      <c r="J34" s="337"/>
      <c r="K34" s="339" t="s">
        <v>598</v>
      </c>
      <c r="L34" s="341">
        <f>L6</f>
        <v>4.538593095245073</v>
      </c>
      <c r="M34" s="337" t="s">
        <v>577</v>
      </c>
      <c r="N34" s="337"/>
      <c r="O34" s="584" t="str">
        <f>IF(AND(P33&gt;0.11,P33&lt;0.34),"OK.Pressure loss within range","Check. Pressure loss out of range")</f>
        <v>OK.Pressure loss within range</v>
      </c>
      <c r="P34" s="584"/>
      <c r="Q34" s="585"/>
    </row>
    <row r="35" spans="2:17" ht="12.75">
      <c r="B35" s="336"/>
      <c r="C35" s="337"/>
      <c r="D35" s="337"/>
      <c r="E35" s="337"/>
      <c r="F35" s="337"/>
      <c r="G35" s="339" t="s">
        <v>352</v>
      </c>
      <c r="H35" s="350">
        <f>SaturSteam_SpecVolume_t(H34)</f>
        <v>0.22033259625051327</v>
      </c>
      <c r="I35" s="337" t="s">
        <v>624</v>
      </c>
      <c r="J35" s="337"/>
      <c r="K35" s="339" t="s">
        <v>352</v>
      </c>
      <c r="L35" s="344">
        <f>L29</f>
        <v>34.66089812453924</v>
      </c>
      <c r="M35" s="337" t="s">
        <v>262</v>
      </c>
      <c r="N35" s="337"/>
      <c r="O35" s="339"/>
      <c r="P35" s="352"/>
      <c r="Q35" s="338"/>
    </row>
    <row r="36" spans="2:17" ht="12.75">
      <c r="B36" s="336"/>
      <c r="C36" s="337"/>
      <c r="D36" s="337"/>
      <c r="E36" s="337"/>
      <c r="F36" s="337"/>
      <c r="G36" s="337"/>
      <c r="H36" s="337"/>
      <c r="I36" s="337"/>
      <c r="J36" s="337"/>
      <c r="K36" s="339" t="s">
        <v>600</v>
      </c>
      <c r="L36" s="496">
        <f>L34/2*L35^2</f>
        <v>2726.282627364286</v>
      </c>
      <c r="M36" s="337" t="s">
        <v>575</v>
      </c>
      <c r="N36" s="337"/>
      <c r="O36" s="337"/>
      <c r="P36" s="352"/>
      <c r="Q36" s="338"/>
    </row>
    <row r="37" spans="2:17" ht="12.75">
      <c r="B37" s="336"/>
      <c r="C37" s="351" t="s">
        <v>734</v>
      </c>
      <c r="D37" s="430" t="s">
        <v>732</v>
      </c>
      <c r="E37" s="337"/>
      <c r="F37" s="337"/>
      <c r="G37" s="337"/>
      <c r="H37" s="337"/>
      <c r="M37" s="337"/>
      <c r="N37" s="337"/>
      <c r="O37" s="337"/>
      <c r="P37" s="337"/>
      <c r="Q37" s="338"/>
    </row>
    <row r="38" spans="2:17" ht="12.75">
      <c r="B38" s="336"/>
      <c r="C38" s="430"/>
      <c r="D38" s="430" t="s">
        <v>733</v>
      </c>
      <c r="E38" s="337"/>
      <c r="F38" s="337"/>
      <c r="G38" s="337"/>
      <c r="H38" s="337"/>
      <c r="N38" s="337"/>
      <c r="O38" s="337"/>
      <c r="P38" s="337"/>
      <c r="Q38" s="338"/>
    </row>
    <row r="39" spans="2:17" ht="12.75">
      <c r="B39" s="336"/>
      <c r="C39" s="430"/>
      <c r="D39" s="430" t="s">
        <v>736</v>
      </c>
      <c r="E39" s="337"/>
      <c r="F39" s="337"/>
      <c r="G39" s="337"/>
      <c r="H39" s="337"/>
      <c r="N39" s="337"/>
      <c r="O39" s="337"/>
      <c r="P39" s="337"/>
      <c r="Q39" s="338"/>
    </row>
    <row r="40" spans="2:17" ht="13.5" thickBot="1">
      <c r="B40" s="357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9"/>
    </row>
    <row r="41" ht="13.5" thickTop="1"/>
  </sheetData>
  <sheetProtection/>
  <mergeCells count="2">
    <mergeCell ref="K30:M30"/>
    <mergeCell ref="O34:Q34"/>
  </mergeCells>
  <conditionalFormatting sqref="K30:M30">
    <cfRule type="containsText" priority="3" dxfId="4" operator="containsText" text="OK. Velocity within range">
      <formula>NOT(ISERROR(SEARCH("OK. Velocity within range",K30)))</formula>
    </cfRule>
    <cfRule type="containsText" priority="4" dxfId="5" operator="containsText" text="OK. Velocity within range">
      <formula>NOT(ISERROR(SEARCH("OK. Velocity within range",K30)))</formula>
    </cfRule>
  </conditionalFormatting>
  <conditionalFormatting sqref="O34:Q34">
    <cfRule type="containsText" priority="1" dxfId="5" operator="containsText" text="Check. Pressure loss out of range">
      <formula>NOT(ISERROR(SEARCH("Check. Pressure loss out of range",O34)))</formula>
    </cfRule>
    <cfRule type="containsText" priority="2" dxfId="4" operator="containsText" text="OK.Pressure loss within range">
      <formula>NOT(ISERROR(SEARCH("OK.Pressure loss within range",O34)))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2:J88"/>
  <sheetViews>
    <sheetView showGridLines="0" zoomScalePageLayoutView="0" workbookViewId="0" topLeftCell="A1">
      <selection activeCell="D12" sqref="D11:D12"/>
    </sheetView>
  </sheetViews>
  <sheetFormatPr defaultColWidth="11.421875" defaultRowHeight="15"/>
  <cols>
    <col min="1" max="1" width="4.00390625" style="0" customWidth="1"/>
  </cols>
  <sheetData>
    <row r="2" ht="14.25">
      <c r="B2" s="519" t="s">
        <v>777</v>
      </c>
    </row>
    <row r="4" ht="14.25">
      <c r="B4" s="122" t="s">
        <v>751</v>
      </c>
    </row>
    <row r="5" ht="15">
      <c r="B5" s="520" t="s">
        <v>752</v>
      </c>
    </row>
    <row r="6" ht="14.25">
      <c r="B6" s="521" t="s">
        <v>753</v>
      </c>
    </row>
    <row r="7" ht="14.25">
      <c r="B7" s="521"/>
    </row>
    <row r="8" ht="14.25">
      <c r="B8" s="521"/>
    </row>
    <row r="9" ht="14.25">
      <c r="B9" s="521"/>
    </row>
    <row r="10" ht="14.25">
      <c r="B10" s="521"/>
    </row>
    <row r="11" spans="1:10" ht="14.25">
      <c r="A11" s="522"/>
      <c r="B11" s="522"/>
      <c r="C11" s="522"/>
      <c r="D11" s="522"/>
      <c r="E11" s="522"/>
      <c r="F11" s="522"/>
      <c r="G11" s="522"/>
      <c r="H11" s="522"/>
      <c r="I11" s="522"/>
      <c r="J11" s="522"/>
    </row>
    <row r="12" spans="1:10" ht="14.25">
      <c r="A12" s="522"/>
      <c r="B12" s="522"/>
      <c r="C12" s="522"/>
      <c r="D12" s="522"/>
      <c r="E12" s="522"/>
      <c r="F12" s="522"/>
      <c r="G12" s="522"/>
      <c r="H12" s="522"/>
      <c r="I12" s="522"/>
      <c r="J12" s="522"/>
    </row>
    <row r="13" spans="1:10" ht="14.25">
      <c r="A13" s="522"/>
      <c r="B13" s="522"/>
      <c r="C13" s="522"/>
      <c r="D13" s="522"/>
      <c r="E13" s="522"/>
      <c r="F13" s="522"/>
      <c r="G13" s="522"/>
      <c r="H13" s="522"/>
      <c r="I13" s="522"/>
      <c r="J13" s="522"/>
    </row>
    <row r="14" spans="1:10" ht="14.25">
      <c r="A14" s="522"/>
      <c r="B14" s="522"/>
      <c r="C14" s="522"/>
      <c r="D14" s="522"/>
      <c r="E14" s="522"/>
      <c r="F14" s="522"/>
      <c r="G14" s="522"/>
      <c r="H14" s="522"/>
      <c r="I14" s="522"/>
      <c r="J14" s="522"/>
    </row>
    <row r="15" spans="1:10" ht="14.25">
      <c r="A15" s="522"/>
      <c r="B15" s="522"/>
      <c r="C15" s="522"/>
      <c r="D15" s="522"/>
      <c r="E15" s="522"/>
      <c r="F15" s="522"/>
      <c r="G15" s="522"/>
      <c r="H15" s="522"/>
      <c r="I15" s="522"/>
      <c r="J15" s="522"/>
    </row>
    <row r="16" spans="1:10" ht="14.25">
      <c r="A16" s="522"/>
      <c r="B16" s="522"/>
      <c r="C16" s="522"/>
      <c r="D16" s="522"/>
      <c r="E16" s="522"/>
      <c r="F16" s="522"/>
      <c r="G16" s="522"/>
      <c r="H16" s="522"/>
      <c r="I16" s="522"/>
      <c r="J16" s="522"/>
    </row>
    <row r="17" spans="1:10" ht="14.25">
      <c r="A17" s="522"/>
      <c r="B17" s="522"/>
      <c r="C17" s="522"/>
      <c r="D17" s="522"/>
      <c r="E17" s="522"/>
      <c r="F17" s="522"/>
      <c r="G17" s="522"/>
      <c r="H17" s="522"/>
      <c r="I17" s="522"/>
      <c r="J17" s="522"/>
    </row>
    <row r="18" spans="1:10" ht="14.25">
      <c r="A18" s="522"/>
      <c r="B18" s="522"/>
      <c r="C18" s="522"/>
      <c r="D18" s="522"/>
      <c r="E18" s="522"/>
      <c r="F18" s="522"/>
      <c r="G18" s="522"/>
      <c r="H18" s="522"/>
      <c r="I18" s="522"/>
      <c r="J18" s="522"/>
    </row>
    <row r="19" spans="1:10" ht="14.25">
      <c r="A19" s="522"/>
      <c r="B19" s="522"/>
      <c r="C19" s="522"/>
      <c r="D19" s="522"/>
      <c r="E19" s="522"/>
      <c r="F19" s="522"/>
      <c r="G19" s="522"/>
      <c r="H19" s="522"/>
      <c r="I19" s="522"/>
      <c r="J19" s="522"/>
    </row>
    <row r="20" spans="1:10" ht="14.25">
      <c r="A20" s="522"/>
      <c r="B20" s="522"/>
      <c r="C20" s="522"/>
      <c r="D20" s="522"/>
      <c r="E20" s="522"/>
      <c r="F20" s="522"/>
      <c r="G20" s="522"/>
      <c r="H20" s="522"/>
      <c r="I20" s="522"/>
      <c r="J20" s="522"/>
    </row>
    <row r="21" spans="1:10" ht="14.25">
      <c r="A21" s="522"/>
      <c r="B21" s="522"/>
      <c r="C21" s="522"/>
      <c r="D21" s="522"/>
      <c r="E21" s="522"/>
      <c r="F21" s="522"/>
      <c r="G21" s="522"/>
      <c r="H21" s="522"/>
      <c r="I21" s="522"/>
      <c r="J21" s="522"/>
    </row>
    <row r="22" spans="1:10" ht="14.25">
      <c r="A22" s="522"/>
      <c r="B22" s="522"/>
      <c r="C22" s="522"/>
      <c r="D22" s="522"/>
      <c r="E22" s="522"/>
      <c r="F22" s="522"/>
      <c r="G22" s="522"/>
      <c r="H22" s="522"/>
      <c r="I22" s="522"/>
      <c r="J22" s="522"/>
    </row>
    <row r="23" spans="1:10" ht="14.25">
      <c r="A23" s="522"/>
      <c r="B23" s="522"/>
      <c r="C23" s="522"/>
      <c r="D23" s="522"/>
      <c r="E23" s="522"/>
      <c r="F23" s="522"/>
      <c r="G23" s="522"/>
      <c r="H23" s="522"/>
      <c r="I23" s="522"/>
      <c r="J23" s="522"/>
    </row>
    <row r="24" spans="1:10" ht="14.25">
      <c r="A24" s="522"/>
      <c r="B24" s="522"/>
      <c r="C24" s="522"/>
      <c r="D24" s="522"/>
      <c r="E24" s="522"/>
      <c r="F24" s="522"/>
      <c r="G24" s="522"/>
      <c r="H24" s="522"/>
      <c r="I24" s="522"/>
      <c r="J24" s="522"/>
    </row>
    <row r="25" spans="1:10" ht="14.25">
      <c r="A25" s="522"/>
      <c r="B25" s="522"/>
      <c r="C25" s="522"/>
      <c r="D25" s="522"/>
      <c r="E25" s="522"/>
      <c r="F25" s="522"/>
      <c r="G25" s="522"/>
      <c r="H25" s="522"/>
      <c r="I25" s="522"/>
      <c r="J25" s="522"/>
    </row>
    <row r="26" spans="1:10" ht="14.25">
      <c r="A26" s="522"/>
      <c r="B26" s="522"/>
      <c r="C26" s="522"/>
      <c r="D26" s="522"/>
      <c r="E26" s="522"/>
      <c r="F26" s="522"/>
      <c r="G26" s="522"/>
      <c r="H26" s="522"/>
      <c r="I26" s="522"/>
      <c r="J26" s="522"/>
    </row>
    <row r="27" spans="1:10" ht="14.25">
      <c r="A27" s="522"/>
      <c r="B27" s="522"/>
      <c r="C27" s="522"/>
      <c r="D27" s="522"/>
      <c r="E27" s="522"/>
      <c r="F27" s="522"/>
      <c r="G27" s="522"/>
      <c r="H27" s="522"/>
      <c r="I27" s="522"/>
      <c r="J27" s="522"/>
    </row>
    <row r="28" spans="1:10" ht="14.25">
      <c r="A28" s="522"/>
      <c r="B28" s="522"/>
      <c r="C28" s="522"/>
      <c r="D28" s="522"/>
      <c r="E28" s="522"/>
      <c r="F28" s="522"/>
      <c r="G28" s="522"/>
      <c r="H28" s="522"/>
      <c r="I28" s="522"/>
      <c r="J28" s="522"/>
    </row>
    <row r="29" spans="1:10" ht="14.25">
      <c r="A29" s="522"/>
      <c r="B29" s="522"/>
      <c r="C29" s="522"/>
      <c r="D29" s="522"/>
      <c r="E29" s="522"/>
      <c r="F29" s="522"/>
      <c r="G29" s="522"/>
      <c r="H29" s="522"/>
      <c r="I29" s="522"/>
      <c r="J29" s="522"/>
    </row>
    <row r="30" spans="1:10" ht="14.25">
      <c r="A30" s="522"/>
      <c r="B30" s="522"/>
      <c r="C30" s="522"/>
      <c r="D30" s="522"/>
      <c r="E30" s="522"/>
      <c r="F30" s="522"/>
      <c r="G30" s="522"/>
      <c r="H30" s="522"/>
      <c r="I30" s="522"/>
      <c r="J30" s="522"/>
    </row>
    <row r="31" spans="1:10" ht="14.25">
      <c r="A31" s="522"/>
      <c r="B31" s="522"/>
      <c r="C31" s="522"/>
      <c r="D31" s="522"/>
      <c r="E31" s="522"/>
      <c r="F31" s="522"/>
      <c r="G31" s="522"/>
      <c r="H31" s="522"/>
      <c r="I31" s="522"/>
      <c r="J31" s="522"/>
    </row>
    <row r="32" spans="1:10" ht="14.25">
      <c r="A32" s="522"/>
      <c r="B32" s="522"/>
      <c r="C32" s="522"/>
      <c r="D32" s="522"/>
      <c r="E32" s="522"/>
      <c r="F32" s="522"/>
      <c r="G32" s="522"/>
      <c r="H32" s="522"/>
      <c r="I32" s="522"/>
      <c r="J32" s="522"/>
    </row>
    <row r="33" spans="1:10" ht="14.25">
      <c r="A33" s="522"/>
      <c r="B33" s="522"/>
      <c r="C33" s="522"/>
      <c r="D33" s="522"/>
      <c r="E33" s="522"/>
      <c r="F33" s="522"/>
      <c r="G33" s="522"/>
      <c r="H33" s="522"/>
      <c r="I33" s="522"/>
      <c r="J33" s="522"/>
    </row>
    <row r="34" spans="1:10" ht="14.25">
      <c r="A34" s="522"/>
      <c r="B34" s="522"/>
      <c r="C34" s="522"/>
      <c r="D34" s="522"/>
      <c r="E34" s="522"/>
      <c r="F34" s="522"/>
      <c r="G34" s="522"/>
      <c r="H34" s="522"/>
      <c r="I34" s="522"/>
      <c r="J34" s="522"/>
    </row>
    <row r="35" spans="1:10" ht="14.25">
      <c r="A35" s="522"/>
      <c r="B35" s="522"/>
      <c r="C35" s="522"/>
      <c r="D35" s="522"/>
      <c r="E35" s="522"/>
      <c r="F35" s="522"/>
      <c r="G35" s="522"/>
      <c r="H35" s="522"/>
      <c r="I35" s="522"/>
      <c r="J35" s="522"/>
    </row>
    <row r="36" spans="1:10" ht="14.25">
      <c r="A36" s="522"/>
      <c r="B36" s="522"/>
      <c r="C36" s="522"/>
      <c r="D36" s="522"/>
      <c r="E36" s="522"/>
      <c r="F36" s="522"/>
      <c r="G36" s="522"/>
      <c r="H36" s="522"/>
      <c r="I36" s="522"/>
      <c r="J36" s="522"/>
    </row>
    <row r="37" spans="1:10" ht="14.25">
      <c r="A37" s="522"/>
      <c r="B37" s="522"/>
      <c r="C37" s="522"/>
      <c r="D37" s="522"/>
      <c r="E37" s="522"/>
      <c r="F37" s="522"/>
      <c r="G37" s="522"/>
      <c r="H37" s="522"/>
      <c r="I37" s="522"/>
      <c r="J37" s="522"/>
    </row>
    <row r="38" spans="1:10" ht="14.25">
      <c r="A38" s="522"/>
      <c r="B38" s="522"/>
      <c r="C38" s="522"/>
      <c r="D38" s="522"/>
      <c r="E38" s="522"/>
      <c r="F38" s="522"/>
      <c r="G38" s="522"/>
      <c r="H38" s="522"/>
      <c r="I38" s="522"/>
      <c r="J38" s="522"/>
    </row>
    <row r="39" spans="1:10" ht="14.25">
      <c r="A39" s="522"/>
      <c r="B39" s="522"/>
      <c r="C39" s="522"/>
      <c r="D39" s="522"/>
      <c r="E39" s="522"/>
      <c r="F39" s="522"/>
      <c r="G39" s="522"/>
      <c r="H39" s="522"/>
      <c r="I39" s="522"/>
      <c r="J39" s="522"/>
    </row>
    <row r="40" spans="1:10" ht="14.25">
      <c r="A40" s="522"/>
      <c r="B40" s="522"/>
      <c r="C40" s="522"/>
      <c r="D40" s="522"/>
      <c r="E40" s="522"/>
      <c r="F40" s="522"/>
      <c r="G40" s="522"/>
      <c r="H40" s="522"/>
      <c r="I40" s="522"/>
      <c r="J40" s="522"/>
    </row>
    <row r="41" spans="1:10" ht="14.25">
      <c r="A41" s="522"/>
      <c r="B41" s="522"/>
      <c r="C41" s="522"/>
      <c r="D41" s="522"/>
      <c r="E41" s="522"/>
      <c r="F41" s="522"/>
      <c r="G41" s="522"/>
      <c r="H41" s="522"/>
      <c r="I41" s="522"/>
      <c r="J41" s="522"/>
    </row>
    <row r="42" spans="1:10" ht="14.25">
      <c r="A42" s="522"/>
      <c r="B42" s="522"/>
      <c r="C42" s="522"/>
      <c r="D42" s="522"/>
      <c r="E42" s="522"/>
      <c r="F42" s="522"/>
      <c r="G42" s="522"/>
      <c r="H42" s="522"/>
      <c r="I42" s="522"/>
      <c r="J42" s="522"/>
    </row>
    <row r="43" spans="1:10" ht="14.25">
      <c r="A43" s="522"/>
      <c r="B43" s="522"/>
      <c r="C43" s="522"/>
      <c r="D43" s="522"/>
      <c r="E43" s="522"/>
      <c r="F43" s="522"/>
      <c r="G43" s="522"/>
      <c r="H43" s="522"/>
      <c r="I43" s="522"/>
      <c r="J43" s="522"/>
    </row>
    <row r="44" spans="1:10" ht="14.25">
      <c r="A44" s="522"/>
      <c r="B44" s="522"/>
      <c r="C44" s="522"/>
      <c r="D44" s="522"/>
      <c r="E44" s="522"/>
      <c r="F44" s="522"/>
      <c r="G44" s="522"/>
      <c r="H44" s="522"/>
      <c r="I44" s="522"/>
      <c r="J44" s="522"/>
    </row>
    <row r="45" spans="1:10" ht="14.25">
      <c r="A45" s="522"/>
      <c r="B45" s="522"/>
      <c r="C45" s="522"/>
      <c r="D45" s="522"/>
      <c r="E45" s="522"/>
      <c r="F45" s="522"/>
      <c r="G45" s="522"/>
      <c r="H45" s="522"/>
      <c r="I45" s="522"/>
      <c r="J45" s="522"/>
    </row>
    <row r="46" spans="1:10" ht="14.25">
      <c r="A46" s="522"/>
      <c r="B46" s="522"/>
      <c r="C46" s="522"/>
      <c r="D46" s="522"/>
      <c r="E46" s="522"/>
      <c r="F46" s="522"/>
      <c r="G46" s="522"/>
      <c r="H46" s="522"/>
      <c r="I46" s="522"/>
      <c r="J46" s="522"/>
    </row>
    <row r="47" spans="1:10" ht="14.25">
      <c r="A47" s="522"/>
      <c r="B47" s="522"/>
      <c r="C47" s="522"/>
      <c r="D47" s="522"/>
      <c r="E47" s="522"/>
      <c r="F47" s="522"/>
      <c r="G47" s="522"/>
      <c r="H47" s="522"/>
      <c r="I47" s="522"/>
      <c r="J47" s="522"/>
    </row>
    <row r="48" spans="1:10" ht="14.25">
      <c r="A48" s="522"/>
      <c r="B48" s="522"/>
      <c r="C48" s="522"/>
      <c r="D48" s="522"/>
      <c r="E48" s="522"/>
      <c r="F48" s="522"/>
      <c r="G48" s="522"/>
      <c r="H48" s="522"/>
      <c r="I48" s="522"/>
      <c r="J48" s="522"/>
    </row>
    <row r="49" spans="1:10" ht="14.25">
      <c r="A49" s="522"/>
      <c r="B49" s="522"/>
      <c r="C49" s="522"/>
      <c r="D49" s="522"/>
      <c r="E49" s="522"/>
      <c r="F49" s="522"/>
      <c r="G49" s="522"/>
      <c r="H49" s="522"/>
      <c r="I49" s="522"/>
      <c r="J49" s="522"/>
    </row>
    <row r="50" spans="1:10" ht="14.25">
      <c r="A50" s="522"/>
      <c r="B50" s="522"/>
      <c r="C50" s="522"/>
      <c r="D50" s="522"/>
      <c r="E50" s="522"/>
      <c r="F50" s="522"/>
      <c r="G50" s="522"/>
      <c r="H50" s="522"/>
      <c r="I50" s="522"/>
      <c r="J50" s="522"/>
    </row>
    <row r="51" spans="1:10" ht="14.25">
      <c r="A51" s="522"/>
      <c r="B51" s="522"/>
      <c r="C51" s="522"/>
      <c r="D51" s="522"/>
      <c r="E51" s="522"/>
      <c r="F51" s="522"/>
      <c r="G51" s="522"/>
      <c r="H51" s="522"/>
      <c r="I51" s="522"/>
      <c r="J51" s="522"/>
    </row>
    <row r="52" spans="1:10" ht="14.25">
      <c r="A52" s="522"/>
      <c r="B52" s="522"/>
      <c r="C52" s="522"/>
      <c r="D52" s="522"/>
      <c r="E52" s="522"/>
      <c r="F52" s="522"/>
      <c r="G52" s="522"/>
      <c r="H52" s="522"/>
      <c r="I52" s="522"/>
      <c r="J52" s="522"/>
    </row>
    <row r="53" spans="1:10" ht="14.25">
      <c r="A53" s="522"/>
      <c r="B53" s="522"/>
      <c r="C53" s="522"/>
      <c r="D53" s="522"/>
      <c r="E53" s="522"/>
      <c r="F53" s="522"/>
      <c r="G53" s="522"/>
      <c r="H53" s="522"/>
      <c r="I53" s="522"/>
      <c r="J53" s="522"/>
    </row>
    <row r="54" spans="1:10" ht="14.25">
      <c r="A54" s="522"/>
      <c r="B54" s="522"/>
      <c r="C54" s="522"/>
      <c r="D54" s="522"/>
      <c r="E54" s="522"/>
      <c r="F54" s="522"/>
      <c r="G54" s="522"/>
      <c r="H54" s="522"/>
      <c r="I54" s="522"/>
      <c r="J54" s="522"/>
    </row>
    <row r="55" spans="1:10" ht="14.25">
      <c r="A55" s="522"/>
      <c r="B55" s="522"/>
      <c r="C55" s="522"/>
      <c r="D55" s="522"/>
      <c r="E55" s="522"/>
      <c r="F55" s="522"/>
      <c r="G55" s="522"/>
      <c r="H55" s="522"/>
      <c r="I55" s="522"/>
      <c r="J55" s="522"/>
    </row>
    <row r="56" spans="1:10" ht="14.25">
      <c r="A56" s="522"/>
      <c r="B56" s="522"/>
      <c r="C56" s="522"/>
      <c r="D56" s="522"/>
      <c r="E56" s="522"/>
      <c r="F56" s="522"/>
      <c r="G56" s="522"/>
      <c r="H56" s="522"/>
      <c r="I56" s="522"/>
      <c r="J56" s="522"/>
    </row>
    <row r="57" spans="1:10" ht="14.25">
      <c r="A57" s="522"/>
      <c r="B57" s="522"/>
      <c r="C57" s="522"/>
      <c r="D57" s="522"/>
      <c r="E57" s="522"/>
      <c r="F57" s="522"/>
      <c r="G57" s="522"/>
      <c r="H57" s="522"/>
      <c r="I57" s="522"/>
      <c r="J57" s="522"/>
    </row>
    <row r="58" spans="1:10" ht="14.25">
      <c r="A58" s="522"/>
      <c r="B58" s="522"/>
      <c r="C58" s="522"/>
      <c r="D58" s="522"/>
      <c r="E58" s="522"/>
      <c r="F58" s="522"/>
      <c r="G58" s="522"/>
      <c r="H58" s="522"/>
      <c r="I58" s="522"/>
      <c r="J58" s="522"/>
    </row>
    <row r="59" spans="1:10" ht="14.25">
      <c r="A59" s="522"/>
      <c r="B59" s="522"/>
      <c r="C59" s="522"/>
      <c r="D59" s="522"/>
      <c r="E59" s="522"/>
      <c r="F59" s="522"/>
      <c r="G59" s="522"/>
      <c r="H59" s="522"/>
      <c r="I59" s="522"/>
      <c r="J59" s="522"/>
    </row>
    <row r="60" spans="1:10" ht="14.25">
      <c r="A60" s="522"/>
      <c r="B60" s="522"/>
      <c r="C60" s="522"/>
      <c r="D60" s="522"/>
      <c r="E60" s="522"/>
      <c r="F60" s="522"/>
      <c r="G60" s="522"/>
      <c r="H60" s="522"/>
      <c r="I60" s="522"/>
      <c r="J60" s="522"/>
    </row>
    <row r="61" spans="1:10" ht="14.25">
      <c r="A61" s="522"/>
      <c r="B61" s="522"/>
      <c r="C61" s="522"/>
      <c r="D61" s="522"/>
      <c r="E61" s="522"/>
      <c r="F61" s="522"/>
      <c r="G61" s="522"/>
      <c r="H61" s="522"/>
      <c r="I61" s="522"/>
      <c r="J61" s="522"/>
    </row>
    <row r="62" spans="1:10" ht="14.25">
      <c r="A62" s="522"/>
      <c r="B62" s="522"/>
      <c r="C62" s="522"/>
      <c r="D62" s="522"/>
      <c r="E62" s="522"/>
      <c r="F62" s="522"/>
      <c r="G62" s="522"/>
      <c r="H62" s="522"/>
      <c r="I62" s="522"/>
      <c r="J62" s="522"/>
    </row>
    <row r="63" spans="1:10" ht="14.25">
      <c r="A63" s="522"/>
      <c r="B63" s="522"/>
      <c r="C63" s="522"/>
      <c r="D63" s="522"/>
      <c r="E63" s="522"/>
      <c r="F63" s="522"/>
      <c r="G63" s="522"/>
      <c r="H63" s="522"/>
      <c r="I63" s="522"/>
      <c r="J63" s="522"/>
    </row>
    <row r="64" spans="1:10" ht="14.25">
      <c r="A64" s="522"/>
      <c r="B64" s="522"/>
      <c r="C64" s="522"/>
      <c r="D64" s="522"/>
      <c r="E64" s="522"/>
      <c r="F64" s="522"/>
      <c r="G64" s="522"/>
      <c r="H64" s="522"/>
      <c r="I64" s="522"/>
      <c r="J64" s="522"/>
    </row>
    <row r="65" spans="1:10" ht="14.25">
      <c r="A65" s="522"/>
      <c r="B65" s="522"/>
      <c r="C65" s="522"/>
      <c r="D65" s="522"/>
      <c r="E65" s="522"/>
      <c r="F65" s="522"/>
      <c r="G65" s="522"/>
      <c r="H65" s="522"/>
      <c r="I65" s="522"/>
      <c r="J65" s="522"/>
    </row>
    <row r="66" spans="1:10" ht="14.25">
      <c r="A66" s="522"/>
      <c r="B66" s="522"/>
      <c r="C66" s="522"/>
      <c r="D66" s="522"/>
      <c r="E66" s="522"/>
      <c r="F66" s="522"/>
      <c r="G66" s="522"/>
      <c r="H66" s="522"/>
      <c r="I66" s="522"/>
      <c r="J66" s="522"/>
    </row>
    <row r="67" spans="1:10" ht="14.25">
      <c r="A67" s="522"/>
      <c r="B67" s="522"/>
      <c r="C67" s="522"/>
      <c r="D67" s="522"/>
      <c r="E67" s="522"/>
      <c r="F67" s="522"/>
      <c r="G67" s="522"/>
      <c r="H67" s="522"/>
      <c r="I67" s="522"/>
      <c r="J67" s="522"/>
    </row>
    <row r="68" spans="1:10" ht="14.25">
      <c r="A68" s="522"/>
      <c r="B68" s="522"/>
      <c r="C68" s="522"/>
      <c r="D68" s="522"/>
      <c r="E68" s="522"/>
      <c r="F68" s="522"/>
      <c r="G68" s="522"/>
      <c r="H68" s="522"/>
      <c r="I68" s="522"/>
      <c r="J68" s="522"/>
    </row>
    <row r="69" spans="1:10" ht="14.25">
      <c r="A69" s="522"/>
      <c r="B69" s="522"/>
      <c r="C69" s="522"/>
      <c r="D69" s="522"/>
      <c r="E69" s="522"/>
      <c r="F69" s="522"/>
      <c r="G69" s="522"/>
      <c r="H69" s="522"/>
      <c r="I69" s="522"/>
      <c r="J69" s="522"/>
    </row>
    <row r="70" spans="1:10" ht="14.25">
      <c r="A70" s="522"/>
      <c r="B70" s="522"/>
      <c r="C70" s="522"/>
      <c r="D70" s="522"/>
      <c r="E70" s="522"/>
      <c r="F70" s="522"/>
      <c r="G70" s="522"/>
      <c r="H70" s="522"/>
      <c r="I70" s="522"/>
      <c r="J70" s="522"/>
    </row>
    <row r="71" spans="1:10" ht="14.25">
      <c r="A71" s="522"/>
      <c r="B71" s="522"/>
      <c r="C71" s="522"/>
      <c r="D71" s="522"/>
      <c r="E71" s="522"/>
      <c r="F71" s="522"/>
      <c r="G71" s="522"/>
      <c r="H71" s="522"/>
      <c r="I71" s="522"/>
      <c r="J71" s="522"/>
    </row>
    <row r="72" spans="1:10" ht="14.25">
      <c r="A72" s="522"/>
      <c r="B72" s="522"/>
      <c r="C72" s="522"/>
      <c r="D72" s="522"/>
      <c r="E72" s="522"/>
      <c r="F72" s="522"/>
      <c r="G72" s="522"/>
      <c r="H72" s="522"/>
      <c r="I72" s="522"/>
      <c r="J72" s="522"/>
    </row>
    <row r="73" spans="1:10" ht="14.25">
      <c r="A73" s="522"/>
      <c r="B73" s="522"/>
      <c r="C73" s="522"/>
      <c r="D73" s="522"/>
      <c r="E73" s="522"/>
      <c r="F73" s="522"/>
      <c r="G73" s="522"/>
      <c r="H73" s="522"/>
      <c r="I73" s="522"/>
      <c r="J73" s="522"/>
    </row>
    <row r="74" spans="1:10" ht="14.25">
      <c r="A74" s="522"/>
      <c r="B74" s="522"/>
      <c r="C74" s="522"/>
      <c r="D74" s="522"/>
      <c r="E74" s="522"/>
      <c r="F74" s="522"/>
      <c r="G74" s="522"/>
      <c r="H74" s="522"/>
      <c r="I74" s="522"/>
      <c r="J74" s="522"/>
    </row>
    <row r="75" spans="1:10" ht="14.25">
      <c r="A75" s="522"/>
      <c r="B75" s="522"/>
      <c r="C75" s="522"/>
      <c r="D75" s="522"/>
      <c r="E75" s="522"/>
      <c r="F75" s="522"/>
      <c r="G75" s="522"/>
      <c r="H75" s="522"/>
      <c r="I75" s="522"/>
      <c r="J75" s="522"/>
    </row>
    <row r="76" spans="1:10" ht="14.25">
      <c r="A76" s="522"/>
      <c r="B76" s="522"/>
      <c r="C76" s="522"/>
      <c r="D76" s="522"/>
      <c r="E76" s="522"/>
      <c r="F76" s="522"/>
      <c r="G76" s="522"/>
      <c r="H76" s="522"/>
      <c r="I76" s="522"/>
      <c r="J76" s="522"/>
    </row>
    <row r="77" spans="1:10" ht="14.25">
      <c r="A77" s="522"/>
      <c r="B77" s="522"/>
      <c r="C77" s="522"/>
      <c r="D77" s="522"/>
      <c r="E77" s="522"/>
      <c r="F77" s="522"/>
      <c r="G77" s="522"/>
      <c r="H77" s="522"/>
      <c r="I77" s="522"/>
      <c r="J77" s="522"/>
    </row>
    <row r="78" spans="1:10" ht="14.25">
      <c r="A78" s="522"/>
      <c r="B78" s="522"/>
      <c r="C78" s="522"/>
      <c r="D78" s="522"/>
      <c r="E78" s="522"/>
      <c r="F78" s="522"/>
      <c r="G78" s="522"/>
      <c r="H78" s="522"/>
      <c r="I78" s="522"/>
      <c r="J78" s="522"/>
    </row>
    <row r="79" spans="1:10" ht="14.25">
      <c r="A79" s="522"/>
      <c r="B79" s="522"/>
      <c r="C79" s="522"/>
      <c r="D79" s="522"/>
      <c r="E79" s="522"/>
      <c r="F79" s="522"/>
      <c r="G79" s="522"/>
      <c r="H79" s="522"/>
      <c r="I79" s="522"/>
      <c r="J79" s="522"/>
    </row>
    <row r="80" spans="1:10" ht="14.25">
      <c r="A80" s="522"/>
      <c r="B80" s="522"/>
      <c r="C80" s="522"/>
      <c r="D80" s="522"/>
      <c r="E80" s="522"/>
      <c r="F80" s="522"/>
      <c r="G80" s="522"/>
      <c r="H80" s="522"/>
      <c r="I80" s="522"/>
      <c r="J80" s="522"/>
    </row>
    <row r="81" spans="1:10" ht="14.25">
      <c r="A81" s="522"/>
      <c r="B81" s="522"/>
      <c r="C81" s="522"/>
      <c r="D81" s="522"/>
      <c r="E81" s="522"/>
      <c r="F81" s="522"/>
      <c r="G81" s="522"/>
      <c r="H81" s="522"/>
      <c r="I81" s="522"/>
      <c r="J81" s="522"/>
    </row>
    <row r="82" spans="1:10" ht="14.25">
      <c r="A82" s="522"/>
      <c r="B82" s="522"/>
      <c r="C82" s="522"/>
      <c r="D82" s="522"/>
      <c r="E82" s="522"/>
      <c r="F82" s="522"/>
      <c r="G82" s="522"/>
      <c r="H82" s="522"/>
      <c r="I82" s="522"/>
      <c r="J82" s="522"/>
    </row>
    <row r="83" spans="1:10" ht="14.25">
      <c r="A83" s="522"/>
      <c r="B83" s="522"/>
      <c r="C83" s="522"/>
      <c r="D83" s="522"/>
      <c r="E83" s="522"/>
      <c r="F83" s="522"/>
      <c r="G83" s="522"/>
      <c r="H83" s="522"/>
      <c r="I83" s="522"/>
      <c r="J83" s="522"/>
    </row>
    <row r="84" spans="1:10" ht="14.25">
      <c r="A84" s="522"/>
      <c r="B84" s="522"/>
      <c r="C84" s="522"/>
      <c r="D84" s="522"/>
      <c r="E84" s="522"/>
      <c r="F84" s="522"/>
      <c r="G84" s="522"/>
      <c r="H84" s="522"/>
      <c r="I84" s="522"/>
      <c r="J84" s="522"/>
    </row>
    <row r="85" spans="1:10" ht="14.25">
      <c r="A85" s="522"/>
      <c r="B85" s="522"/>
      <c r="C85" s="522"/>
      <c r="D85" s="522"/>
      <c r="E85" s="522"/>
      <c r="F85" s="522"/>
      <c r="G85" s="522"/>
      <c r="H85" s="522"/>
      <c r="I85" s="522"/>
      <c r="J85" s="522"/>
    </row>
    <row r="86" spans="1:10" ht="14.25">
      <c r="A86" s="522"/>
      <c r="B86" s="522"/>
      <c r="C86" s="522"/>
      <c r="D86" s="522"/>
      <c r="E86" s="522"/>
      <c r="F86" s="522"/>
      <c r="G86" s="522"/>
      <c r="H86" s="522"/>
      <c r="I86" s="522"/>
      <c r="J86" s="522"/>
    </row>
    <row r="87" spans="1:10" ht="14.25">
      <c r="A87" s="522"/>
      <c r="B87" s="522"/>
      <c r="C87" s="522"/>
      <c r="D87" s="522"/>
      <c r="E87" s="522"/>
      <c r="F87" s="522"/>
      <c r="G87" s="522"/>
      <c r="H87" s="522"/>
      <c r="I87" s="522"/>
      <c r="J87" s="522"/>
    </row>
    <row r="88" spans="1:10" ht="14.25">
      <c r="A88" s="522"/>
      <c r="B88" s="522"/>
      <c r="C88" s="522"/>
      <c r="D88" s="522"/>
      <c r="E88" s="522"/>
      <c r="F88" s="522"/>
      <c r="G88" s="522"/>
      <c r="H88" s="522"/>
      <c r="I88" s="522"/>
      <c r="J88" s="522"/>
    </row>
  </sheetData>
  <sheetProtection/>
  <hyperlinks>
    <hyperlink ref="B6" r:id="rId1" display="http://www.afconsult.com/en/do-business/your-industry/process-industry/steam-and-water-program-excel-addin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C3:V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4.421875" style="0" customWidth="1"/>
    <col min="19" max="19" width="13.00390625" style="0" customWidth="1"/>
    <col min="20" max="20" width="7.57421875" style="0" customWidth="1"/>
  </cols>
  <sheetData>
    <row r="3" ht="14.25">
      <c r="C3" s="497" t="s">
        <v>684</v>
      </c>
    </row>
    <row r="4" ht="15" thickBot="1"/>
    <row r="5" spans="3:22" ht="18" thickTop="1">
      <c r="C5" s="447" t="s">
        <v>711</v>
      </c>
      <c r="D5" s="448"/>
      <c r="E5" s="448"/>
      <c r="F5" s="448"/>
      <c r="G5" s="448"/>
      <c r="H5" s="448"/>
      <c r="I5" s="451"/>
      <c r="P5" s="447" t="s">
        <v>711</v>
      </c>
      <c r="Q5" s="448"/>
      <c r="R5" s="448"/>
      <c r="S5" s="448"/>
      <c r="T5" s="448"/>
      <c r="U5" s="448"/>
      <c r="V5" s="451"/>
    </row>
    <row r="6" spans="3:22" ht="18">
      <c r="C6" s="371" t="s">
        <v>712</v>
      </c>
      <c r="D6" s="20"/>
      <c r="E6" s="20"/>
      <c r="F6" s="20"/>
      <c r="G6" s="20"/>
      <c r="H6" s="20"/>
      <c r="I6" s="378"/>
      <c r="P6" s="371" t="s">
        <v>712</v>
      </c>
      <c r="Q6" s="20"/>
      <c r="R6" s="20"/>
      <c r="S6" s="20"/>
      <c r="T6" s="20"/>
      <c r="U6" s="20"/>
      <c r="V6" s="378"/>
    </row>
    <row r="7" spans="3:22" ht="14.25">
      <c r="C7" s="593" t="s">
        <v>687</v>
      </c>
      <c r="D7" s="594"/>
      <c r="E7" s="594"/>
      <c r="F7" s="595" t="s">
        <v>688</v>
      </c>
      <c r="G7" s="587"/>
      <c r="H7" s="433" t="s">
        <v>689</v>
      </c>
      <c r="I7" s="452"/>
      <c r="P7" s="590" t="s">
        <v>687</v>
      </c>
      <c r="Q7" s="591"/>
      <c r="R7" s="592"/>
      <c r="S7" s="586" t="s">
        <v>688</v>
      </c>
      <c r="T7" s="587"/>
      <c r="U7" s="433" t="s">
        <v>689</v>
      </c>
      <c r="V7" s="452"/>
    </row>
    <row r="8" spans="3:22" ht="14.25">
      <c r="C8" s="446"/>
      <c r="D8" s="434"/>
      <c r="E8" s="434"/>
      <c r="F8" s="595" t="s">
        <v>262</v>
      </c>
      <c r="G8" s="587"/>
      <c r="H8" s="434" t="s">
        <v>723</v>
      </c>
      <c r="I8" s="453"/>
      <c r="P8" s="371"/>
      <c r="Q8" s="20"/>
      <c r="R8" s="20"/>
      <c r="S8" s="441" t="s">
        <v>691</v>
      </c>
      <c r="T8" s="434"/>
      <c r="U8" s="434" t="s">
        <v>690</v>
      </c>
      <c r="V8" s="453"/>
    </row>
    <row r="9" spans="3:22" ht="14.25">
      <c r="C9" s="445" t="s">
        <v>284</v>
      </c>
      <c r="D9" s="436"/>
      <c r="E9" s="440"/>
      <c r="F9" s="436"/>
      <c r="G9" s="436"/>
      <c r="H9" s="436"/>
      <c r="I9" s="454"/>
      <c r="P9" s="443" t="s">
        <v>284</v>
      </c>
      <c r="Q9" s="435"/>
      <c r="R9" s="438"/>
      <c r="S9" s="436"/>
      <c r="T9" s="436"/>
      <c r="U9" s="436"/>
      <c r="V9" s="454"/>
    </row>
    <row r="10" spans="3:22" ht="14.25">
      <c r="C10" s="444" t="s">
        <v>692</v>
      </c>
      <c r="D10" s="20"/>
      <c r="E10" s="20"/>
      <c r="F10" s="457">
        <f aca="true" t="shared" si="0" ref="F10:G15">S10*FtMin</f>
        <v>10.16</v>
      </c>
      <c r="G10" s="457">
        <f t="shared" si="0"/>
        <v>20.32</v>
      </c>
      <c r="H10" s="125">
        <f aca="true" t="shared" si="1" ref="H10:I13">U10*PsiBar</f>
        <v>0.056551509186351705</v>
      </c>
      <c r="I10" s="461">
        <f t="shared" si="1"/>
        <v>0.11310301837270341</v>
      </c>
      <c r="P10" s="444" t="s">
        <v>692</v>
      </c>
      <c r="Q10" s="20"/>
      <c r="R10" s="20"/>
      <c r="S10" s="457">
        <v>2000</v>
      </c>
      <c r="T10" s="457">
        <v>4000</v>
      </c>
      <c r="U10" s="18">
        <v>0.25</v>
      </c>
      <c r="V10" s="383">
        <v>0.5</v>
      </c>
    </row>
    <row r="11" spans="3:22" ht="15" customHeight="1">
      <c r="C11" s="371" t="s">
        <v>726</v>
      </c>
      <c r="D11" s="20"/>
      <c r="E11" s="439"/>
      <c r="F11" s="457">
        <f t="shared" si="0"/>
        <v>10.16</v>
      </c>
      <c r="G11" s="457">
        <f t="shared" si="0"/>
        <v>25.400000000000002</v>
      </c>
      <c r="H11" s="125">
        <f t="shared" si="1"/>
        <v>0.056551509186351705</v>
      </c>
      <c r="I11" s="461">
        <f t="shared" si="1"/>
        <v>0.11310301837270341</v>
      </c>
      <c r="P11" s="371" t="s">
        <v>693</v>
      </c>
      <c r="Q11" s="20"/>
      <c r="R11" s="439"/>
      <c r="S11" s="457">
        <v>2000</v>
      </c>
      <c r="T11" s="457">
        <v>5000</v>
      </c>
      <c r="U11" s="18">
        <v>0.25</v>
      </c>
      <c r="V11" s="383">
        <v>0.5</v>
      </c>
    </row>
    <row r="12" spans="3:22" ht="14.25">
      <c r="C12" s="371" t="s">
        <v>727</v>
      </c>
      <c r="D12" s="20"/>
      <c r="E12" s="439"/>
      <c r="F12" s="457">
        <f t="shared" si="0"/>
        <v>10.16</v>
      </c>
      <c r="G12" s="457">
        <f t="shared" si="0"/>
        <v>38.1</v>
      </c>
      <c r="H12" s="125">
        <f t="shared" si="1"/>
        <v>0.11310301837270341</v>
      </c>
      <c r="I12" s="461">
        <f t="shared" si="1"/>
        <v>0.3393090551181102</v>
      </c>
      <c r="P12" s="371" t="s">
        <v>694</v>
      </c>
      <c r="Q12" s="20"/>
      <c r="R12" s="439"/>
      <c r="S12" s="457">
        <v>2000</v>
      </c>
      <c r="T12" s="457">
        <v>7500</v>
      </c>
      <c r="U12" s="18">
        <v>0.5</v>
      </c>
      <c r="V12" s="383">
        <v>1.5</v>
      </c>
    </row>
    <row r="13" spans="3:22" ht="14.25">
      <c r="C13" s="371" t="s">
        <v>728</v>
      </c>
      <c r="D13" s="20"/>
      <c r="E13" s="439"/>
      <c r="F13" s="457">
        <f t="shared" si="0"/>
        <v>10.16</v>
      </c>
      <c r="G13" s="457">
        <f t="shared" si="0"/>
        <v>45.720000000000006</v>
      </c>
      <c r="H13" s="125">
        <f t="shared" si="1"/>
        <v>0.11310301837270341</v>
      </c>
      <c r="I13" s="461">
        <f t="shared" si="1"/>
        <v>0.45241207349081364</v>
      </c>
      <c r="P13" s="371" t="s">
        <v>695</v>
      </c>
      <c r="Q13" s="20"/>
      <c r="R13" s="439"/>
      <c r="S13" s="429">
        <v>2000</v>
      </c>
      <c r="T13" s="457">
        <v>9000</v>
      </c>
      <c r="U13" s="18">
        <v>0.5</v>
      </c>
      <c r="V13" s="383">
        <v>2</v>
      </c>
    </row>
    <row r="14" spans="3:22" ht="14.25">
      <c r="C14" s="371" t="s">
        <v>696</v>
      </c>
      <c r="D14" s="20"/>
      <c r="E14" s="439"/>
      <c r="F14" s="457">
        <f t="shared" si="0"/>
        <v>20.32</v>
      </c>
      <c r="G14" s="457">
        <f t="shared" si="0"/>
        <v>30.48</v>
      </c>
      <c r="H14" s="125"/>
      <c r="I14" s="461"/>
      <c r="P14" s="371" t="s">
        <v>696</v>
      </c>
      <c r="Q14" s="20"/>
      <c r="R14" s="439"/>
      <c r="S14" s="457">
        <v>4000</v>
      </c>
      <c r="T14" s="457">
        <v>6000</v>
      </c>
      <c r="U14" s="18"/>
      <c r="V14" s="383"/>
    </row>
    <row r="15" spans="3:22" ht="14.25">
      <c r="C15" s="371" t="s">
        <v>697</v>
      </c>
      <c r="D15" s="20"/>
      <c r="E15" s="439"/>
      <c r="F15" s="457">
        <f t="shared" si="0"/>
        <v>40.64</v>
      </c>
      <c r="G15" s="457">
        <f t="shared" si="0"/>
        <v>60.96</v>
      </c>
      <c r="H15" s="125"/>
      <c r="I15" s="461"/>
      <c r="P15" s="371" t="s">
        <v>697</v>
      </c>
      <c r="Q15" s="20"/>
      <c r="R15" s="439"/>
      <c r="S15" s="457">
        <v>8000</v>
      </c>
      <c r="T15" s="457">
        <v>12000</v>
      </c>
      <c r="U15" s="18"/>
      <c r="V15" s="383"/>
    </row>
    <row r="16" spans="3:22" ht="14.25">
      <c r="C16" s="445" t="s">
        <v>698</v>
      </c>
      <c r="D16" s="436"/>
      <c r="E16" s="440"/>
      <c r="F16" s="458"/>
      <c r="G16" s="458"/>
      <c r="H16" s="462"/>
      <c r="I16" s="463"/>
      <c r="P16" s="445" t="s">
        <v>698</v>
      </c>
      <c r="Q16" s="436"/>
      <c r="R16" s="440"/>
      <c r="S16" s="458"/>
      <c r="T16" s="458"/>
      <c r="U16" s="442"/>
      <c r="V16" s="455"/>
    </row>
    <row r="17" spans="3:22" ht="14.25">
      <c r="C17" s="371" t="s">
        <v>729</v>
      </c>
      <c r="D17" s="20"/>
      <c r="E17" s="439"/>
      <c r="F17" s="457">
        <f>S17*FtMin</f>
        <v>12.700000000000001</v>
      </c>
      <c r="G17" s="457">
        <f>T17*FtMin</f>
        <v>50.800000000000004</v>
      </c>
      <c r="H17" s="125">
        <f>U17*PsiBar</f>
        <v>0.11310301837270341</v>
      </c>
      <c r="I17" s="461">
        <f>V17*PsiBar</f>
        <v>0.3393090551181102</v>
      </c>
      <c r="P17" s="371" t="s">
        <v>731</v>
      </c>
      <c r="Q17" s="20"/>
      <c r="R17" s="439"/>
      <c r="S17" s="457">
        <v>2500</v>
      </c>
      <c r="T17" s="457">
        <v>10000</v>
      </c>
      <c r="U17" s="18">
        <v>0.5</v>
      </c>
      <c r="V17" s="383">
        <v>1.5</v>
      </c>
    </row>
    <row r="18" spans="3:22" ht="14.25">
      <c r="C18" s="371" t="s">
        <v>730</v>
      </c>
      <c r="D18" s="20"/>
      <c r="E18" s="439"/>
      <c r="F18" s="457">
        <f>S18*FtMin</f>
        <v>12.700000000000001</v>
      </c>
      <c r="G18" s="457">
        <f>T18*FtMin</f>
        <v>60.96</v>
      </c>
      <c r="H18" s="125">
        <f>U18*PsiBar</f>
        <v>0.22620603674540682</v>
      </c>
      <c r="I18" s="461">
        <f>V18*PsiBar</f>
        <v>0.45241207349081364</v>
      </c>
      <c r="P18" s="371" t="s">
        <v>699</v>
      </c>
      <c r="Q18" s="20"/>
      <c r="R18" s="439"/>
      <c r="S18" s="457">
        <v>2500</v>
      </c>
      <c r="T18" s="457">
        <v>12000</v>
      </c>
      <c r="U18" s="18">
        <v>1</v>
      </c>
      <c r="V18" s="383">
        <v>2</v>
      </c>
    </row>
    <row r="19" spans="3:22" ht="14.25">
      <c r="C19" s="445" t="s">
        <v>700</v>
      </c>
      <c r="D19" s="436"/>
      <c r="E19" s="440"/>
      <c r="F19" s="588" t="s">
        <v>54</v>
      </c>
      <c r="G19" s="589"/>
      <c r="H19" s="442"/>
      <c r="I19" s="455"/>
      <c r="K19" s="432"/>
      <c r="L19" s="432"/>
      <c r="P19" s="445" t="s">
        <v>700</v>
      </c>
      <c r="Q19" s="436"/>
      <c r="R19" s="440"/>
      <c r="S19" s="588" t="s">
        <v>709</v>
      </c>
      <c r="T19" s="589"/>
      <c r="U19" s="442"/>
      <c r="V19" s="455"/>
    </row>
    <row r="20" spans="3:22" ht="14.25">
      <c r="C20" s="371" t="s">
        <v>701</v>
      </c>
      <c r="D20" s="20"/>
      <c r="E20" s="439"/>
      <c r="F20" s="459">
        <f aca="true" t="shared" si="2" ref="F20:G23">S20*FtSec</f>
        <v>0.45720000000000005</v>
      </c>
      <c r="G20" s="459">
        <f t="shared" si="2"/>
        <v>0.762</v>
      </c>
      <c r="H20" s="18"/>
      <c r="I20" s="383"/>
      <c r="K20" s="432"/>
      <c r="L20" s="432"/>
      <c r="P20" s="371" t="s">
        <v>701</v>
      </c>
      <c r="Q20" s="20"/>
      <c r="R20" s="439"/>
      <c r="S20" s="18">
        <v>1.5</v>
      </c>
      <c r="T20" s="18">
        <v>2.5</v>
      </c>
      <c r="U20" s="18"/>
      <c r="V20" s="383"/>
    </row>
    <row r="21" spans="3:22" ht="14.25">
      <c r="C21" s="371" t="s">
        <v>702</v>
      </c>
      <c r="D21" s="20"/>
      <c r="E21" s="439"/>
      <c r="F21" s="459">
        <f t="shared" si="2"/>
        <v>0.45720000000000005</v>
      </c>
      <c r="G21" s="459">
        <f t="shared" si="2"/>
        <v>0.9144000000000001</v>
      </c>
      <c r="H21" s="18"/>
      <c r="I21" s="383"/>
      <c r="K21" s="432"/>
      <c r="L21" s="432"/>
      <c r="P21" s="371" t="s">
        <v>702</v>
      </c>
      <c r="Q21" s="20"/>
      <c r="R21" s="439"/>
      <c r="S21" s="18">
        <v>1.5</v>
      </c>
      <c r="T21" s="18">
        <v>3</v>
      </c>
      <c r="U21" s="18"/>
      <c r="V21" s="383"/>
    </row>
    <row r="22" spans="3:22" ht="14.25">
      <c r="C22" s="371" t="s">
        <v>703</v>
      </c>
      <c r="D22" s="20"/>
      <c r="E22" s="439"/>
      <c r="F22" s="459">
        <f t="shared" si="2"/>
        <v>0.9144000000000001</v>
      </c>
      <c r="G22" s="459">
        <f t="shared" si="2"/>
        <v>2.286</v>
      </c>
      <c r="H22" s="18"/>
      <c r="I22" s="383"/>
      <c r="P22" s="371" t="s">
        <v>703</v>
      </c>
      <c r="Q22" s="20"/>
      <c r="R22" s="439"/>
      <c r="S22" s="18">
        <v>3</v>
      </c>
      <c r="T22" s="18">
        <v>7.5</v>
      </c>
      <c r="U22" s="18"/>
      <c r="V22" s="383"/>
    </row>
    <row r="23" spans="3:22" ht="14.25">
      <c r="C23" s="371" t="s">
        <v>704</v>
      </c>
      <c r="D23" s="20"/>
      <c r="E23" s="439"/>
      <c r="F23" s="459">
        <f t="shared" si="2"/>
        <v>1.2192</v>
      </c>
      <c r="G23" s="459">
        <f t="shared" si="2"/>
        <v>3.048</v>
      </c>
      <c r="H23" s="18"/>
      <c r="I23" s="383"/>
      <c r="P23" s="371" t="s">
        <v>704</v>
      </c>
      <c r="Q23" s="20"/>
      <c r="R23" s="439"/>
      <c r="S23" s="18">
        <v>4</v>
      </c>
      <c r="T23" s="18">
        <v>10</v>
      </c>
      <c r="U23" s="18"/>
      <c r="V23" s="383"/>
    </row>
    <row r="24" spans="3:22" ht="14.25">
      <c r="C24" s="445" t="s">
        <v>710</v>
      </c>
      <c r="D24" s="436"/>
      <c r="E24" s="440"/>
      <c r="F24" s="596" t="s">
        <v>54</v>
      </c>
      <c r="G24" s="597"/>
      <c r="H24" s="442"/>
      <c r="I24" s="455"/>
      <c r="P24" s="445" t="s">
        <v>710</v>
      </c>
      <c r="Q24" s="436"/>
      <c r="R24" s="440"/>
      <c r="S24" s="588" t="s">
        <v>709</v>
      </c>
      <c r="T24" s="589"/>
      <c r="U24" s="442"/>
      <c r="V24" s="455"/>
    </row>
    <row r="25" spans="3:22" ht="14.25">
      <c r="C25" s="371" t="s">
        <v>705</v>
      </c>
      <c r="D25" s="20"/>
      <c r="E25" s="439"/>
      <c r="F25" s="459">
        <f>S25*FtSec</f>
        <v>1.2192</v>
      </c>
      <c r="G25" s="459"/>
      <c r="H25" s="18"/>
      <c r="I25" s="383"/>
      <c r="P25" s="371" t="s">
        <v>705</v>
      </c>
      <c r="Q25" s="20"/>
      <c r="R25" s="439"/>
      <c r="S25" s="18">
        <v>4</v>
      </c>
      <c r="T25" s="18"/>
      <c r="U25" s="18"/>
      <c r="V25" s="383"/>
    </row>
    <row r="26" spans="3:22" ht="14.25">
      <c r="C26" s="371" t="s">
        <v>706</v>
      </c>
      <c r="D26" s="20"/>
      <c r="E26" s="439"/>
      <c r="F26" s="459">
        <f>S26*FtSec</f>
        <v>0.3048</v>
      </c>
      <c r="G26" s="459">
        <f>T26*FtSec</f>
        <v>2.4384</v>
      </c>
      <c r="H26" s="18"/>
      <c r="I26" s="383"/>
      <c r="P26" s="371" t="s">
        <v>706</v>
      </c>
      <c r="Q26" s="20"/>
      <c r="R26" s="439"/>
      <c r="S26" s="18">
        <v>1</v>
      </c>
      <c r="T26" s="18">
        <v>8</v>
      </c>
      <c r="U26" s="18"/>
      <c r="V26" s="383"/>
    </row>
    <row r="27" spans="3:22" ht="14.25">
      <c r="C27" s="371" t="s">
        <v>707</v>
      </c>
      <c r="D27" s="20"/>
      <c r="E27" s="439"/>
      <c r="F27" s="459">
        <f>S27*FtSec</f>
        <v>1.524</v>
      </c>
      <c r="G27" s="459">
        <f>T27*FtSec</f>
        <v>4.572</v>
      </c>
      <c r="H27" s="18"/>
      <c r="I27" s="383"/>
      <c r="P27" s="371" t="s">
        <v>707</v>
      </c>
      <c r="Q27" s="20"/>
      <c r="R27" s="439"/>
      <c r="S27" s="18">
        <v>5</v>
      </c>
      <c r="T27" s="18">
        <v>15</v>
      </c>
      <c r="U27" s="18"/>
      <c r="V27" s="383"/>
    </row>
    <row r="28" spans="3:22" ht="15" thickBot="1">
      <c r="C28" s="381" t="s">
        <v>708</v>
      </c>
      <c r="D28" s="382"/>
      <c r="E28" s="449"/>
      <c r="F28" s="460">
        <f>S28*FtSec</f>
        <v>1.524</v>
      </c>
      <c r="G28" s="460">
        <f>T28*FtSec</f>
        <v>4.572</v>
      </c>
      <c r="H28" s="450"/>
      <c r="I28" s="456"/>
      <c r="P28" s="381" t="s">
        <v>708</v>
      </c>
      <c r="Q28" s="382"/>
      <c r="R28" s="449"/>
      <c r="S28" s="450">
        <v>5</v>
      </c>
      <c r="T28" s="450">
        <v>15</v>
      </c>
      <c r="U28" s="450"/>
      <c r="V28" s="456"/>
    </row>
    <row r="29" spans="19:20" ht="15" thickTop="1">
      <c r="S29" s="25"/>
      <c r="T29" s="25"/>
    </row>
    <row r="31" spans="3:21" ht="14.25">
      <c r="C31" t="s">
        <v>732</v>
      </c>
      <c r="P31" t="s">
        <v>715</v>
      </c>
      <c r="Q31">
        <v>0.00508</v>
      </c>
      <c r="R31" t="s">
        <v>262</v>
      </c>
      <c r="S31" t="s">
        <v>719</v>
      </c>
      <c r="T31">
        <v>0.0689476</v>
      </c>
      <c r="U31" t="s">
        <v>720</v>
      </c>
    </row>
    <row r="32" spans="3:21" ht="14.25">
      <c r="C32" t="s">
        <v>733</v>
      </c>
      <c r="P32" t="s">
        <v>716</v>
      </c>
      <c r="Q32">
        <f>Q31</f>
        <v>0.00508</v>
      </c>
      <c r="S32" t="s">
        <v>719</v>
      </c>
      <c r="T32">
        <f>T31</f>
        <v>0.0689476</v>
      </c>
      <c r="U32" t="s">
        <v>721</v>
      </c>
    </row>
    <row r="33" spans="3:21" ht="14.25">
      <c r="C33" t="s">
        <v>736</v>
      </c>
      <c r="P33" t="s">
        <v>717</v>
      </c>
      <c r="Q33">
        <v>0.3048</v>
      </c>
      <c r="S33" t="s">
        <v>724</v>
      </c>
      <c r="T33">
        <f>T32/30.48</f>
        <v>0.0022620603674540682</v>
      </c>
      <c r="U33" t="s">
        <v>722</v>
      </c>
    </row>
    <row r="34" spans="16:21" ht="14.25">
      <c r="P34" t="s">
        <v>718</v>
      </c>
      <c r="Q34">
        <f>Q33</f>
        <v>0.3048</v>
      </c>
      <c r="S34" t="s">
        <v>719</v>
      </c>
      <c r="T34">
        <f>T33*100</f>
        <v>0.22620603674540682</v>
      </c>
      <c r="U34" t="s">
        <v>723</v>
      </c>
    </row>
    <row r="35" spans="19:20" ht="14.25">
      <c r="S35" t="s">
        <v>725</v>
      </c>
      <c r="T35">
        <f>T34</f>
        <v>0.22620603674540682</v>
      </c>
    </row>
  </sheetData>
  <sheetProtection/>
  <mergeCells count="9">
    <mergeCell ref="S7:T7"/>
    <mergeCell ref="S19:T19"/>
    <mergeCell ref="S24:T24"/>
    <mergeCell ref="P7:R7"/>
    <mergeCell ref="C7:E7"/>
    <mergeCell ref="F7:G7"/>
    <mergeCell ref="F19:G19"/>
    <mergeCell ref="F24:G24"/>
    <mergeCell ref="F8:G8"/>
  </mergeCells>
  <hyperlinks>
    <hyperlink ref="C3" r:id="rId1" display="http://www.watsonmcdaniel.com/2011Catalog/EngineeringData.pdf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3:B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25" customWidth="1"/>
  </cols>
  <sheetData>
    <row r="3" spans="1:2" ht="14.25">
      <c r="A3" s="25" t="s">
        <v>686</v>
      </c>
      <c r="B3" t="s">
        <v>634</v>
      </c>
    </row>
    <row r="4" ht="14.25">
      <c r="B4" s="360" t="s">
        <v>633</v>
      </c>
    </row>
    <row r="5" ht="14.25">
      <c r="B5" s="361" t="s">
        <v>638</v>
      </c>
    </row>
    <row r="7" spans="1:2" ht="14.25">
      <c r="A7" s="25" t="s">
        <v>685</v>
      </c>
      <c r="B7" t="s">
        <v>713</v>
      </c>
    </row>
    <row r="8" ht="14.25">
      <c r="B8" t="s">
        <v>714</v>
      </c>
    </row>
    <row r="9" ht="14.25">
      <c r="B9" t="s">
        <v>684</v>
      </c>
    </row>
    <row r="11" spans="1:2" ht="14.25">
      <c r="A11" s="25" t="s">
        <v>746</v>
      </c>
      <c r="B11" t="s">
        <v>748</v>
      </c>
    </row>
    <row r="12" ht="14.25">
      <c r="B12" s="497" t="s">
        <v>747</v>
      </c>
    </row>
    <row r="13" ht="14.25">
      <c r="B13" t="s">
        <v>754</v>
      </c>
    </row>
  </sheetData>
  <sheetProtection/>
  <hyperlinks>
    <hyperlink ref="B12" r:id="rId1" display="www.piping-tools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Aliosha</dc:creator>
  <cp:keywords/>
  <dc:description/>
  <cp:lastModifiedBy>Aliosha</cp:lastModifiedBy>
  <dcterms:created xsi:type="dcterms:W3CDTF">2015-05-04T15:47:37Z</dcterms:created>
  <dcterms:modified xsi:type="dcterms:W3CDTF">2017-04-06T12:22:50Z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